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_rels/.rels" ContentType="application/vnd.openxmlformats-package.relationship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 showHorizontalScroll="true" showVerticalScroll="true" showSheetTabs="true"/>
  </bookViews>
  <sheets>
    <sheet name="Krycí list rozpočtu" sheetId="1" r:id="rId1"/>
    <sheet name="VORN" sheetId="2" state="hidden" r:id="rId2"/>
    <sheet name="Stavební rozpočet" sheetId="3" r:id="rId3"/>
    <sheet name="Výkaz výměr" sheetId="4" r:id="rId4"/>
  </sheets>
  <definedNames>
    <definedName name="vorn_sum">VORN!$I$36</definedName>
  </definedNames>
  <calcPr refMode="A1"/>
</workbook>
</file>

<file path=xl/sharedStrings.xml><?xml version="1.0" encoding="utf-8"?>
<sst xmlns="http://schemas.openxmlformats.org/spreadsheetml/2006/main" count="686" uniqueCount="686">
  <si>
    <t>Krycí list slepého rozpočtu</t>
  </si>
  <si>
    <t>Název stavby:</t>
  </si>
  <si>
    <t>Objednatel:</t>
  </si>
  <si>
    <t>IČO/DIČ:</t>
  </si>
  <si>
    <t>00255661/CZ00255661</t>
  </si>
  <si>
    <t>Druh stavby:</t>
  </si>
  <si>
    <t>Projektant:</t>
  </si>
  <si>
    <t>28098064/CZ28098064</t>
  </si>
  <si>
    <t>Lokalita:</t>
  </si>
  <si>
    <t>Zhotovitel:</t>
  </si>
  <si>
    <t/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</si>
  <si>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</si>
  <si>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</si>
  <si>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</si>
  <si>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</si>
  <si>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</si>
  <si>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</si>
  <si>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</si>
  <si>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</si>
  <si>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</si>
  <si>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</si>
  <si>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</si>
  <si>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</si>
  <si>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</si>
  <si>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</si>
  <si>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</si>
  <si>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</si>
  <si>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</si>
  <si>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</si>
  <si>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</si>
  <si>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</si>
  <si>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</si>
  <si>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</si>
  <si>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</si>
  <si>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</si>
  <si>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</si>
  <si>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</si>
  <si>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</si>
  <si>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</si>
  <si>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</si>
  <si>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</si>
  <si>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</si>
  <si>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</si>
  <si>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</si>
  <si>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</si>
  <si>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</si>
  <si>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</si>
  <si>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</si>
  <si>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</si>
  <si>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</si>
  <si>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</si>
  <si>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</si>
  <si>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</si>
  <si>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</si>
  <si>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</si>
  <si>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</si>
  <si>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</si>
  <si>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</si>
  <si>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</si>
  <si>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</si>
  <si>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</si>
  <si>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</si>
  <si>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</si>
  <si>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</si>
  <si>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</si>
  <si>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</si>
  <si>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</si>
  <si>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</si>
  <si>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</si>
  <si>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</si>
  <si>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</si>
  <si>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Slepý stavební rozpočet</t>
  </si>
  <si>
    <t>Rekonstrukce ulice Nádražní (úsek Cibulkova - Hlávkova)</t>
  </si>
  <si>
    <t>Doba výstavby:</t>
  </si>
  <si>
    <t xml:space="preserve"> </t>
  </si>
  <si>
    <t>Město Klatovy</t>
  </si>
  <si>
    <t>07.04.2025</t>
  </si>
  <si>
    <t>PSDS s.r.o.</t>
  </si>
  <si>
    <t> </t>
  </si>
  <si>
    <t>Zpracováno dne:</t>
  </si>
  <si>
    <t>24.01.2025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</si>
  <si>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</si>
  <si>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</si>
  <si>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</si>
  <si>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</si>
  <si>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</si>
  <si>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</si>
  <si>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</si>
  <si>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</si>
  <si>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</si>
  <si>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</si>
  <si>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</si>
  <si>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</si>
  <si>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</si>
  <si>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</si>
  <si>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</si>
  <si>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</si>
  <si>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</si>
  <si>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</si>
  <si>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</si>
  <si>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</si>
  <si>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</si>
  <si>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</si>
  <si>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</si>
  <si>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</si>
  <si>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</si>
  <si>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</si>
  <si>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</si>
  <si>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</si>
  <si>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</si>
  <si>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11</t>
  </si>
  <si>
    <t>Přípravné a přidružené práce</t>
  </si>
  <si>
    <t>1</t>
  </si>
  <si>
    <t>113202111R00</t>
  </si>
  <si>
    <t>Vytrhání obrub obrubníků silničních</t>
  </si>
  <si>
    <t>m</t>
  </si>
  <si>
    <t>RTS II / 2024</t>
  </si>
  <si>
    <t>11_</t>
  </si>
  <si>
    <t>_1_</t>
  </si>
  <si>
    <t>_</t>
  </si>
  <si>
    <t>2</t>
  </si>
  <si>
    <t>113201111R00</t>
  </si>
  <si>
    <t>Vytrhání obrubníků chodníkových a parkových</t>
  </si>
  <si>
    <t>3</t>
  </si>
  <si>
    <t>113203111R00</t>
  </si>
  <si>
    <t>Vytrhání obrub z dlažebních kostek</t>
  </si>
  <si>
    <t>4</t>
  </si>
  <si>
    <t>979999999R00</t>
  </si>
  <si>
    <t>Poplatek za ukládku suť do 10 % příměsí (skup.170107)</t>
  </si>
  <si>
    <t>t</t>
  </si>
  <si>
    <t>5</t>
  </si>
  <si>
    <t>RTS komentář:</t>
  </si>
  <si>
    <t>kusovost do 1600 cm2  Thermoservis - transport s.r.o. Roviny 4 643 00 Brno – Chrlice, ČR IČ: 269 12 643 DIČ: CZ 269 12 64</t>
  </si>
  <si>
    <t>113106241R00</t>
  </si>
  <si>
    <t>Rozebrání ploch komunikací ze silničních panelů</t>
  </si>
  <si>
    <t>m2</t>
  </si>
  <si>
    <t>V položce nejsou zakalkulovány náklady na popř. nutné očištění vybouraných panelů</t>
  </si>
  <si>
    <t>6</t>
  </si>
  <si>
    <t>979999982R00</t>
  </si>
  <si>
    <t>Poplatek za recyklaci betonu kusovost nad 1600 cm2 (skup.170101)</t>
  </si>
  <si>
    <t>skupina 17 01 01 z Katalogu odpadů  Thermoservis - transport s.r.o. Roviny 4 643 00 Brno – Chrlice, ČR IČ: 269 12 643 DIČ: CZ 269 12 64</t>
  </si>
  <si>
    <t>7</t>
  </si>
  <si>
    <t>113106212R00</t>
  </si>
  <si>
    <t>Rozebrání dlažeb z velkých kostek v živici</t>
  </si>
  <si>
    <t>8</t>
  </si>
  <si>
    <t>113106121R00</t>
  </si>
  <si>
    <t>Rozebrání dlažeb z betonových dlaždic na sucho</t>
  </si>
  <si>
    <t>Položka není určena pro rozebrání dlažeb uložených do betonového lože a pro rozebrání dlažeb z mozaiky uložených do cementové malty. V položce nejsou zakalkulovány náklady na popř. nutné očištění vybouraných betonových dlaždic</t>
  </si>
  <si>
    <t>9</t>
  </si>
  <si>
    <t>10</t>
  </si>
  <si>
    <t>113108415R00</t>
  </si>
  <si>
    <t>Odstranění asfaltové vrstvy pl.nad 50 m2, tl.15 cm</t>
  </si>
  <si>
    <t>Položka není určena pro odstranění podkladu nebo krytu frézováním. Pro volbu položky z hlediska množství se uvažuje každá souvisle odstraňovaná plocha krytu nebo podkladu stejného druhu samostatně.Odstraňuje-li se několik vrstev vozovky najednou, jednotlivé vrstvy se oceňují každá samostatně</t>
  </si>
  <si>
    <t>979999996R00</t>
  </si>
  <si>
    <t>Poplatek za recyklaci asfaltu, kusovost nad 1600 cm2 (skup.170302)</t>
  </si>
  <si>
    <t>Thermoservis - transport s.r.o. Roviny 4 643 00 Brno – Chrlice, ČR IČ: 269 12 643 DIČ: CZ 269 12 64</t>
  </si>
  <si>
    <t>12</t>
  </si>
  <si>
    <t>113109320R00</t>
  </si>
  <si>
    <t>Odstranění podkladu pl.50 m2, bet.prostý tl.20 cm</t>
  </si>
  <si>
    <t>13</t>
  </si>
  <si>
    <t>14</t>
  </si>
  <si>
    <t>113107620R00</t>
  </si>
  <si>
    <t>Odstranění podkladu nad 50 m2,kam.drcené tl.20 cm</t>
  </si>
  <si>
    <t>Položka je určena i pro odstranění podkladů nebo krytů ze zemin stabilizovaných vápnem. Pro volbu položky z hlediska množství se uvažuje každá souvisle odstraňovaná plocha krytu nebo podkladu stejného druhu samostatně.Odstraňuje-li se několik vrstev vozovky najednou, jednotlivé vrstvy se oceňují každá samostatně</t>
  </si>
  <si>
    <t>15</t>
  </si>
  <si>
    <t>199000005R00</t>
  </si>
  <si>
    <t>Poplatek za skládku zeminy 1- 4, č. dle katal. odpadů 17 05 04</t>
  </si>
  <si>
    <t>16</t>
  </si>
  <si>
    <t>979083117R00</t>
  </si>
  <si>
    <t>Vodorovné přemístění suti na skládku do 6000 m</t>
  </si>
  <si>
    <t>Pro volbu položky je rozhodující dopravní vzdálenost těžiště skládky a těžiště půdorysné plochy objektu. V položce jsou zakalkulovány i náklady na naložení suti na dopravní prostředek a složení</t>
  </si>
  <si>
    <t>Odkopávky a prokopávky</t>
  </si>
  <si>
    <t>17</t>
  </si>
  <si>
    <t>122201103R00</t>
  </si>
  <si>
    <t>Odkopávky nezapažené v hor. 3 do 10000 m3</t>
  </si>
  <si>
    <t>m3</t>
  </si>
  <si>
    <t>12_</t>
  </si>
  <si>
    <t>18</t>
  </si>
  <si>
    <t>19</t>
  </si>
  <si>
    <t>Hloubené vykopávky</t>
  </si>
  <si>
    <t>20</t>
  </si>
  <si>
    <t>131201201R00</t>
  </si>
  <si>
    <t>Hloubení zapažených jam v hor.3 do 100 m3</t>
  </si>
  <si>
    <t>13_</t>
  </si>
  <si>
    <t>21</t>
  </si>
  <si>
    <t>132201111R00</t>
  </si>
  <si>
    <t>Hloubení rýh š.do 60 cm v hor.3 do 100 m3, STROJNĚ</t>
  </si>
  <si>
    <t>Položka obsahuje hloubení rýh traktorbagrem, naložení výkopku na dopravní prostředek pro svislé, nebo vodorovné přemístění, popř. přemístění výkopku do 3 m (po povrchu území), případné zajištění rypadel polštáři, udržování pracoviště a ochranu výkopiště proti stékání srážkové vody z okolního terénu i s jejím odvodněním, nebo odvedením, přesekání a odstranění kořenů ve výkopišti, odstranění napadávek, urovnání dna výkopu</t>
  </si>
  <si>
    <t>22</t>
  </si>
  <si>
    <t>23</t>
  </si>
  <si>
    <t>Konstrukce ze zemin</t>
  </si>
  <si>
    <t>24</t>
  </si>
  <si>
    <t>174101101R00</t>
  </si>
  <si>
    <t>Zásyp jam, rýh, šachet se zhutněním</t>
  </si>
  <si>
    <t>17_</t>
  </si>
  <si>
    <t>Položka obsahuje strojní přemístění materiálu pro zásyp ze vzdálenosti do 10 m od okraje zásypu.</t>
  </si>
  <si>
    <t>Povrchové úpravy terénu</t>
  </si>
  <si>
    <t>25</t>
  </si>
  <si>
    <t>184201117RA0</t>
  </si>
  <si>
    <t>Výsadba stromu s balem, v rovině, výšky do 450 cm</t>
  </si>
  <si>
    <t>kus</t>
  </si>
  <si>
    <t>18_</t>
  </si>
  <si>
    <t>26</t>
  </si>
  <si>
    <t>02656042X</t>
  </si>
  <si>
    <t>Sakura ozdobná, obvod kmene 14/16, výška 420-440 cm</t>
  </si>
  <si>
    <t>kontejner C35</t>
  </si>
  <si>
    <t>27</t>
  </si>
  <si>
    <t>181300012RAE</t>
  </si>
  <si>
    <t>Rozprostření ornice v rovině tloušťka 20 cm</t>
  </si>
  <si>
    <t>Varianta:</t>
  </si>
  <si>
    <t>dovoz ornice ze vzdálenosti 15 km, osetí trávou</t>
  </si>
  <si>
    <t>28</t>
  </si>
  <si>
    <t>185804215R00</t>
  </si>
  <si>
    <t>Vypletí trávníku po výsevu v rovině</t>
  </si>
  <si>
    <t>29</t>
  </si>
  <si>
    <t>185804312R00</t>
  </si>
  <si>
    <t>Zalití rostlin vodou plochy nad 20 m2</t>
  </si>
  <si>
    <t>Úprava podloží a základové spáry</t>
  </si>
  <si>
    <t>30</t>
  </si>
  <si>
    <t>212810010RAD</t>
  </si>
  <si>
    <t>Trativody z PVC drenážních flexibilních trubek</t>
  </si>
  <si>
    <t>21_</t>
  </si>
  <si>
    <t>_2_</t>
  </si>
  <si>
    <t>lože štěrkopísek a obsyp kamenivo, trubky d 160 mm</t>
  </si>
  <si>
    <t>31</t>
  </si>
  <si>
    <t>212312111R00</t>
  </si>
  <si>
    <t>Lože trativodu z betonu prostého</t>
  </si>
  <si>
    <t>32</t>
  </si>
  <si>
    <t>212971110R00</t>
  </si>
  <si>
    <t>Opláštění trativodů z geotext., do sklonu 1:2,5</t>
  </si>
  <si>
    <t>33</t>
  </si>
  <si>
    <t>69366198</t>
  </si>
  <si>
    <t>Geotextilie netkaná 300 g/m2</t>
  </si>
  <si>
    <t xml:space="preserve">Netkaná geotextilie zpevněná vpichováním ze 100% z polypropylenu se separační, ochranou, filtrační a zpevňovací funkcí.  Použití v pozemním stavitelství při výstavbě střech, zakládání staveb a výstavbě drenáží, v silničním a železničním stavitelství při výstavbě silničních a železničních násypů, zajišťování svahů, při výstavbě tunelů a drenážních systémů, ve vodním stavitelství při výstavbě nádrží, kanálů a rybníků, pro zajišťování hrází a břehů, při výstavbě ekologických staveb a skládek TKO.  Základní vlastnosti textilie odolává plísním, bakteriím a běžným chemikáliím, nemá negativní vliv na kvalitu pitné vody.  rozměr 2 x 50 </t>
  </si>
  <si>
    <t>Základy</t>
  </si>
  <si>
    <t>34</t>
  </si>
  <si>
    <t>272322611R00</t>
  </si>
  <si>
    <t>Železobeton základových kleneb síranovzdorný C 30/37 - XA3</t>
  </si>
  <si>
    <t>27_</t>
  </si>
  <si>
    <t>Položka obsahuje náklady na dodávku a uložení betonu do připravené konstrukce. Bednění a výztuž se oceňuje samostatně. Beton je kalkulován s použitím síranovzdorného cementu.</t>
  </si>
  <si>
    <t>35</t>
  </si>
  <si>
    <t>273351215RT1</t>
  </si>
  <si>
    <t>Bednění stěn základových desek - zřízení</t>
  </si>
  <si>
    <t>bednicí materiál prkna</t>
  </si>
  <si>
    <t>36</t>
  </si>
  <si>
    <t>273351216R00</t>
  </si>
  <si>
    <t>Bednění stěn základových desek - odstranění</t>
  </si>
  <si>
    <t>37</t>
  </si>
  <si>
    <t>273356021R00</t>
  </si>
  <si>
    <t>Bednění základových desek,plochy rovinné, zřízení</t>
  </si>
  <si>
    <t>38</t>
  </si>
  <si>
    <t>273356022R00</t>
  </si>
  <si>
    <t>Bednění základových desek,plochy rovinné,odbednění</t>
  </si>
  <si>
    <t>39</t>
  </si>
  <si>
    <t>273361214R00</t>
  </si>
  <si>
    <t>Výztuž základových desek, do12 mm z oceli B500B (10 505)</t>
  </si>
  <si>
    <t>40</t>
  </si>
  <si>
    <t>712340012RAB</t>
  </si>
  <si>
    <t>Povlaková krytina střech do 10°, přitavením, 2x</t>
  </si>
  <si>
    <t>1x ALP, 2x NAIP Sklobit G</t>
  </si>
  <si>
    <t>Dříve Sklobit</t>
  </si>
  <si>
    <t>41</t>
  </si>
  <si>
    <t>631310001RA0</t>
  </si>
  <si>
    <t>Mazanina podkladní z betonu C 8/10, tl. 5 cm</t>
  </si>
  <si>
    <t>Stěny a příčky</t>
  </si>
  <si>
    <t>42</t>
  </si>
  <si>
    <t>348942111R00</t>
  </si>
  <si>
    <t>Zábradlí ocel. s osazením do bet.bloků,ze 2 trubek</t>
  </si>
  <si>
    <t>34_</t>
  </si>
  <si>
    <t>_3_</t>
  </si>
  <si>
    <t>zábradlí přímé nebo v oblouku výšky 1,10 m, ze sloupků z válcovaných tyčí I č.10 - 12, s osazením do bloků z betonu 200 x 200 x 500 mm, vodorovné trubky průměru 51 m</t>
  </si>
  <si>
    <t>43</t>
  </si>
  <si>
    <t>073889114R00</t>
  </si>
  <si>
    <t>Provedení nátěru barvou syntetickou, zábradlí</t>
  </si>
  <si>
    <t>44</t>
  </si>
  <si>
    <t>131201110R00</t>
  </si>
  <si>
    <t>Hloubení nezapaž. jam hor.3 do 50 m3, STROJNĚ</t>
  </si>
  <si>
    <t>Položka obsahuje hloubení jámy traktorbagrem, naložení výkopku na dopravní prostředek pro svislé, nebo vodorovné přemístění, popř. přemístění výkopku do 3 m (po povrchu území), případné zajištění rypadel polštáři, udržování pracoviště a ochranu výkopiště proti stékání srážkové vody z okolního terénu i s jejím odvodněním, nebo odvedením, přesekání a odstranění kořenů ve výkopišti, odstranění napadávek, urovnání dna výkopu</t>
  </si>
  <si>
    <t>45</t>
  </si>
  <si>
    <t>275310030RAA</t>
  </si>
  <si>
    <t>Základová patka z betonu C 16/20, včetně bednění</t>
  </si>
  <si>
    <t>štěrkopískový podklad 10 cm</t>
  </si>
  <si>
    <t>46</t>
  </si>
  <si>
    <t>47</t>
  </si>
  <si>
    <t>56</t>
  </si>
  <si>
    <t>Podkladní vrstvy komunikací, letišť a ploch</t>
  </si>
  <si>
    <t>48</t>
  </si>
  <si>
    <t>565171211R00</t>
  </si>
  <si>
    <t>Podklad z obal kamen.ACP 22+, š.nad 3 m, tl. 10 cm</t>
  </si>
  <si>
    <t>56_</t>
  </si>
  <si>
    <t>_5_</t>
  </si>
  <si>
    <t>49</t>
  </si>
  <si>
    <t>564851111RT2</t>
  </si>
  <si>
    <t>Podklad ze štěrkodrti po zhutnění tloušťky 15 cm</t>
  </si>
  <si>
    <t>štěrkodrť frakce 0-32 mm</t>
  </si>
  <si>
    <t>50</t>
  </si>
  <si>
    <t>564851114RT2</t>
  </si>
  <si>
    <t>Podklad ze štěrkodrti po zhutnění tloušťky 18 cm</t>
  </si>
  <si>
    <t>51</t>
  </si>
  <si>
    <t>564861113RT2</t>
  </si>
  <si>
    <t>Podklad ze štěrkodrti po zhutnění tloušťky 22 cm</t>
  </si>
  <si>
    <t>52</t>
  </si>
  <si>
    <t>567142112R00</t>
  </si>
  <si>
    <t>Podklad z kameniva zpev.cementem SC C8/10 tl.22 cm</t>
  </si>
  <si>
    <t>53</t>
  </si>
  <si>
    <t>564861111RT2</t>
  </si>
  <si>
    <t>Podklad ze štěrkodrti po zhutnění tloušťky 20 cm</t>
  </si>
  <si>
    <t>54</t>
  </si>
  <si>
    <t>564281811R00</t>
  </si>
  <si>
    <t>Podklad dálnic ze štěrkopísku po zhutnění tl.30 cm</t>
  </si>
  <si>
    <t>57</t>
  </si>
  <si>
    <t>Kryty pozemních komunikací, letišť a ploch z kameniva nebo živičné</t>
  </si>
  <si>
    <t>55</t>
  </si>
  <si>
    <t>577132111R00</t>
  </si>
  <si>
    <t>Beton asfalt. ACO 11+ obrusný, š.nad 3 m, tl. 4 cm</t>
  </si>
  <si>
    <t>57_</t>
  </si>
  <si>
    <t>573231143R00</t>
  </si>
  <si>
    <t>Postřik spojovací z KAE modifikované, množství zbytkového asfaltu 0,3 kg/m2</t>
  </si>
  <si>
    <t>573111123R00</t>
  </si>
  <si>
    <t>Postřik infiltrační, množství zbytkového asfaltového pojiva 0,80 kg/m2</t>
  </si>
  <si>
    <t>Bez posypu kamenivem</t>
  </si>
  <si>
    <t>58</t>
  </si>
  <si>
    <t>577162124R00</t>
  </si>
  <si>
    <t>Beton asfalt. ACL 16+ ložný, š. nad 3 m, tl. 7 cm</t>
  </si>
  <si>
    <t>59</t>
  </si>
  <si>
    <t>577141212RT2</t>
  </si>
  <si>
    <t>Beton asfalt. ACO 8,ACO 11,ACO 16, do 3 m, tl.5 cm</t>
  </si>
  <si>
    <t>plochy 201-1000 m2</t>
  </si>
  <si>
    <t>60</t>
  </si>
  <si>
    <t>579300012R00</t>
  </si>
  <si>
    <t>Kryt komunikací z asfalt.recyklátu po zhutnění 5cm</t>
  </si>
  <si>
    <t>s rozprostřním a zhutnění</t>
  </si>
  <si>
    <t>Kryty pozemních komunikací, letišť a ploch dlážděných (předlažby)</t>
  </si>
  <si>
    <t>61</t>
  </si>
  <si>
    <t>596921113R00V</t>
  </si>
  <si>
    <t>Kladení betonových vegetačních tvárnic, lože z kameniva fr. 4-8 tl. 40 mm, plocha do 500 m2</t>
  </si>
  <si>
    <t>59_</t>
  </si>
  <si>
    <t>62</t>
  </si>
  <si>
    <t>59248130</t>
  </si>
  <si>
    <t>Dlažba vegetační LORA LOR 24/24/8 II nat</t>
  </si>
  <si>
    <t xml:space="preserve">17,6 ks/m2 </t>
  </si>
  <si>
    <t>63</t>
  </si>
  <si>
    <t>596715041R00</t>
  </si>
  <si>
    <t>Kladení vodicí linie z dlažby tl.8 cm, drť tl.4 cm</t>
  </si>
  <si>
    <t>V ceně není započteno řezání dlaždic. Rozpočtuje se samostatnou položkou 596 29-1113.R00 Řezání zámkové dlažby tl. 80 mm. V položce jsou zakalkulovány i náklady na dodání hmot pro lože a  materiálu pro výplň spár. V položce nejsou zakalkulovány náklady na dodání zámkové dlažby, která se oceňuje ve specifikaci, ztratné se doporučuje ve výši 5%.</t>
  </si>
  <si>
    <t>64</t>
  </si>
  <si>
    <t>59248070</t>
  </si>
  <si>
    <t>Kámen dlažební GRANIT vodicí linie 20/20/8 natural</t>
  </si>
  <si>
    <t>65</t>
  </si>
  <si>
    <t>596215040R00</t>
  </si>
  <si>
    <t>Kladení zámkové dlažby tl. 8 cm do drtě tl. 4 cm</t>
  </si>
  <si>
    <t>Od CÚ 2015/ II. není v jednotkové ceně započteno řezání dlaždic!!! Rozpočtuje se samostatnou položkou 596 29-1113.R00 Řezání zámkové dlažby tl. 80 mm. V položce jsou zakalkulovány i náklady na dodání hmot pro lože a na dodání materiálu na výplň spár. V položce nejsou zakalkulovány náklady na dodání zámkové dlažby, která se oceňuje ve specifikaci, ztratné se doporučuje ve výši 5%.</t>
  </si>
  <si>
    <t>66</t>
  </si>
  <si>
    <t>592451158</t>
  </si>
  <si>
    <t>Dlažba skladebná SLP pro nevidomé 200 x 100 x 80 mm červená</t>
  </si>
  <si>
    <t xml:space="preserve"> Tato užitečná specializovaná dlažba s výrazně tvarovaným povrchem SLP je určena jako doplněk ke všem typům zpevněných ploch tam, kde je nutno vést nevidomé a slabozraké spoluobčany určitým směrem, nebo je upozornit na změnu směru, přechod pro chodce, zastávku MHD, na vchod do budovy apod. Speciálně upravený povrch dlažby s výstupky je jednoznačně a nezaměnitelně zjistitelný hmatově – holí - i nášlapem, proto může pomoci při budování vodících pruhů a signálních pásů v rámci běžného dláždění pro chodce.  dodáváno včetně půlek (případně krajovek) Impregnace Protect System I</t>
  </si>
  <si>
    <t>67</t>
  </si>
  <si>
    <t>592451170</t>
  </si>
  <si>
    <t>Dlažba zámková betonová 200 x 100 x 80 mm přírodní</t>
  </si>
  <si>
    <t>Impregnace Protect System I</t>
  </si>
  <si>
    <t>68</t>
  </si>
  <si>
    <t>596291113R00</t>
  </si>
  <si>
    <t>Řezání zámkové dlažby tl. 80 mm</t>
  </si>
  <si>
    <t>767</t>
  </si>
  <si>
    <t>Konstrukce doplňkové stavební (zámečnické)</t>
  </si>
  <si>
    <t>69</t>
  </si>
  <si>
    <t>767996801R00</t>
  </si>
  <si>
    <t>Demontáž atypických ocelových konstr. do 50 kg</t>
  </si>
  <si>
    <t>kg</t>
  </si>
  <si>
    <t>767_</t>
  </si>
  <si>
    <t>_76_</t>
  </si>
  <si>
    <t>70</t>
  </si>
  <si>
    <t>83</t>
  </si>
  <si>
    <t>Potrubí z trub kameninových</t>
  </si>
  <si>
    <t>71</t>
  </si>
  <si>
    <t>831350114RAF</t>
  </si>
  <si>
    <t>Kanalizační přípojka z trub PVC, D 200 mm</t>
  </si>
  <si>
    <t>83_</t>
  </si>
  <si>
    <t>_8_</t>
  </si>
  <si>
    <t>rýha šířky 0,9 m, hloubky 2,0 m</t>
  </si>
  <si>
    <t>Položka obsahuje: vyhloubení rýhy, svislé přemístění, naložení přebytku po zásypu na dopravní prostředek a odvoz do 10 km, lože pod potrubí z kameniva 4-8 mm, dodávku a montáž potrubí z trub PVC hrdlových vnějšího průměru podle popisu, dodávku a montáž PVC tvarovek jednoosých (1 kus/ 10 m potrubí), zkoušku těsnosti potrubí, obsyp potrubí z kameniva 4-8 mm, dosyp rýhy výkopkem se zhutněním</t>
  </si>
  <si>
    <t>89</t>
  </si>
  <si>
    <t>Ostatní konstrukce a práce na trubním vedení</t>
  </si>
  <si>
    <t>72</t>
  </si>
  <si>
    <t>894411020RBG</t>
  </si>
  <si>
    <t>Vpusť uliční z dílců DN 450,s kal.košem,s výtokem, normální nebo snížená</t>
  </si>
  <si>
    <t>89_</t>
  </si>
  <si>
    <t>DN 200, mříž litina 500x500 EUROPA 40 t, hl.1,64 m</t>
  </si>
  <si>
    <t>V položce je zakalkulováno: zřízení uliční vpusti betonových dílců ze spodního dílu s odtokem DN 200 mm, středové a horní skruže, přechodového dílu, vyrovnávacího prstence a vtokové mříže s kalovým košem.  Měrnou jednotkou je kus</t>
  </si>
  <si>
    <t>91</t>
  </si>
  <si>
    <t>Doplňující konstrukce a práce na pozemních komunikacích a zpevněných plochách</t>
  </si>
  <si>
    <t>73</t>
  </si>
  <si>
    <t>915721111RT3</t>
  </si>
  <si>
    <t>Vodorovné značení střík.barvou stopčar,zeber atd.</t>
  </si>
  <si>
    <t>91_</t>
  </si>
  <si>
    <t>_9_</t>
  </si>
  <si>
    <t>barva červená</t>
  </si>
  <si>
    <t>74</t>
  </si>
  <si>
    <t>917862111RT7</t>
  </si>
  <si>
    <t>Osazení stojatého obrubníku betonového, s boční opěrou, do lože z betonu C 12/15</t>
  </si>
  <si>
    <t>včetně obrubníku ABO 2 - 15 100/15/25</t>
  </si>
  <si>
    <t>75</t>
  </si>
  <si>
    <t>916661111RT5</t>
  </si>
  <si>
    <t>Osazení park. obrubníků do lože z C 12/15 s opěrou</t>
  </si>
  <si>
    <t>včetně obrubníku 80x250x1000 mm</t>
  </si>
  <si>
    <t>V položce nejsou zakalkulovány náklady na dodání obrubníků, které se oceňuje ve specifikaci, ztratné se doporučuje ve výši 1%. Část lože přesahující 10 cm se oceňuje položkou 918 10-1111 Lože pod obrubníky, krajníky nebo obruby</t>
  </si>
  <si>
    <t>76</t>
  </si>
  <si>
    <t>917161111RT2</t>
  </si>
  <si>
    <t>Osazení lež. obrub.kamen. s opěrou, lože z C 12/15</t>
  </si>
  <si>
    <t>včetně kamen. obrubníku OP 2  30 x 20</t>
  </si>
  <si>
    <t>Osazení silničního nebo chodníkového obrubníku kamenného</t>
  </si>
  <si>
    <t>77</t>
  </si>
  <si>
    <t>917932131R00</t>
  </si>
  <si>
    <t>Osazení betonové prefa přídlažby do lože z C20/25</t>
  </si>
  <si>
    <t>Osazení betonové přídlažby o rozměru 500x250x100 mm do betonového lože tl.100 mm. Bez dodávky prefabrikátu</t>
  </si>
  <si>
    <t>78</t>
  </si>
  <si>
    <t>59218562V</t>
  </si>
  <si>
    <t>Krajník silniční výška 100 x 500 x 250 mm přírodní</t>
  </si>
  <si>
    <t>79</t>
  </si>
  <si>
    <t>914001121RT6</t>
  </si>
  <si>
    <t>Osaz.svislé dopr.značky a sloupku,Al patka, základ</t>
  </si>
  <si>
    <t>včetně dodávky sloupku a značky</t>
  </si>
  <si>
    <t>Výkop jamky s odhozem výkopku na vzdálenost do 3 m, betonový základ (s dodávkou betonu), dodávka a osazení kotevní hliníkové patky, dodávka a osazení sloupku, dodávka a osazení víčka ke sloupku, dodávka a osazení svislé dopravní značky plochy do 1 m2, upínací svorka</t>
  </si>
  <si>
    <t>80</t>
  </si>
  <si>
    <t>914001125R00</t>
  </si>
  <si>
    <t>Osazení svislé dopr.značky na sloupek nebo konzolu</t>
  </si>
  <si>
    <t>Včetně dodávky upevňovadel</t>
  </si>
  <si>
    <t>81</t>
  </si>
  <si>
    <t>40445141.A</t>
  </si>
  <si>
    <t>Značka dopravní dodatková E 1 - E 2, rozměr 500 x 500 mm, fólie 1</t>
  </si>
  <si>
    <t xml:space="preserve">Typy a provedení dopravního značení jsou v souladu s příslušným zákonem a vyhláškou č. 30/2001 Sb. a jsou schváleny Ministerstvem dopravy a spojů k používání na pozemních komunikacích.  E - Dopravní značka - dodatková tabulka EG - Enginner Grade - reflexní fólie tř. 1  štít z pozinkovaného plechu s dvojitým ohybem okraje po celém obvodu značky retroreflexní fólie  I. třídy 3M EG nebo podobná, záruka 7 let  </t>
  </si>
  <si>
    <t>82</t>
  </si>
  <si>
    <t>40445024.A</t>
  </si>
  <si>
    <t>Značka dopravní zákazová B 1 - B 34, rozměr 700 mm, fólie 2</t>
  </si>
  <si>
    <t xml:space="preserve">Typy a provedení dopravního značení jsou v souladu s příslušným zákonem a vyhláškou č. 30/2001 Sb. a jsou schváleny Ministerstvem dopravy a spojů k používání na pozemních komunikacích.  EG - Enginner Grade - reflexní fólie tř. 1 HlG  -  Hight Intensity Grade - reflexní fólie tř. 2  štít z pozinkovaného plechu s dvojitým ohybem okraje po celém obvodu značky retroreflexní fólie  II. třídy 3M EG nebo podobná, záruka 10 let  </t>
  </si>
  <si>
    <t>40444973.A</t>
  </si>
  <si>
    <t>Značka dopravní upravující přednost P 2, rozměr 500 x 500 mm, fólie 2</t>
  </si>
  <si>
    <t xml:space="preserve">Typy a provedení dopravního značení jsou v souladu s příslušným zákonem a vyhláškou č. 30/2001 Sb. a jsou schváleny Ministerstvem dopravy a spojů k používání na pozemních komunikacích.  FeZn plech - rám  EG - Enginner Grade - reflexní fólie tř. 1 HlG  -  Hight Intensity Grade - reflexní fólie tř. 2  štít z pozinkovaného plechu s dvojitým ohybem okraje po celém obvodu značky retroreflexní fólie  II. třídy 3M HI nebo podobná, záruka 10 let  </t>
  </si>
  <si>
    <t>84</t>
  </si>
  <si>
    <t>915711121R00</t>
  </si>
  <si>
    <t>Vodor.značení dělicích čar 12 cm plastem,nehlučné</t>
  </si>
  <si>
    <t>Včetně posypu balotinou</t>
  </si>
  <si>
    <t>85</t>
  </si>
  <si>
    <t>915711111RT1</t>
  </si>
  <si>
    <t>Vodorovné značení dělicích čar 12 cm střík.barvou</t>
  </si>
  <si>
    <t>barva bílá</t>
  </si>
  <si>
    <t>86</t>
  </si>
  <si>
    <t>915721111RT1</t>
  </si>
  <si>
    <t>87</t>
  </si>
  <si>
    <t>915721121R00</t>
  </si>
  <si>
    <t>Vodorovné značení stopčar,zeber atd.plastem,nehluč</t>
  </si>
  <si>
    <t>88</t>
  </si>
  <si>
    <t>914993001R00</t>
  </si>
  <si>
    <t>Demontáž svislé dopravní značky včetně stojanu</t>
  </si>
  <si>
    <t>90</t>
  </si>
  <si>
    <t>M21</t>
  </si>
  <si>
    <t>Elektromontáže</t>
  </si>
  <si>
    <t>210500010RAD</t>
  </si>
  <si>
    <t>Venkovní osvětlení, stožár parkový</t>
  </si>
  <si>
    <t>M21_</t>
  </si>
  <si>
    <t>stožár ocelový výška 6 m</t>
  </si>
  <si>
    <t>92</t>
  </si>
  <si>
    <t>210202115R00</t>
  </si>
  <si>
    <t>Svítidlo veřejného osvětlení parkové</t>
  </si>
  <si>
    <t>93</t>
  </si>
  <si>
    <t>210202111R00</t>
  </si>
  <si>
    <t>Svítidlo veřejného osvětlení na výložník</t>
  </si>
  <si>
    <t>94</t>
  </si>
  <si>
    <t>210500020RAA</t>
  </si>
  <si>
    <t>Venkovní osvětlení, stožár uliční</t>
  </si>
  <si>
    <t>95</t>
  </si>
  <si>
    <t>210901071RT1</t>
  </si>
  <si>
    <t>Kabel silový AYKY 1kV 4 x 35 mm2 volně uložený</t>
  </si>
  <si>
    <t>včetně dodávky kabelu AYKY 4bx35</t>
  </si>
  <si>
    <t>96</t>
  </si>
  <si>
    <t>210190523R00</t>
  </si>
  <si>
    <t>Montáž skříně rozvodného zařízení</t>
  </si>
  <si>
    <t>97</t>
  </si>
  <si>
    <t>35712329</t>
  </si>
  <si>
    <t>Skříň rozvaděčová</t>
  </si>
  <si>
    <t>M46</t>
  </si>
  <si>
    <t>Zemní práce při montážích</t>
  </si>
  <si>
    <t>98</t>
  </si>
  <si>
    <t>460200153RT2</t>
  </si>
  <si>
    <t>Výkop kabelové rýhy 35/70 cm  hor.3</t>
  </si>
  <si>
    <t>M46_</t>
  </si>
  <si>
    <t>ruční výkop rýhy</t>
  </si>
  <si>
    <t>99</t>
  </si>
  <si>
    <t>460420018RT3</t>
  </si>
  <si>
    <t>Zřízení kabelového lože v rýze š.do 35 cm z písku</t>
  </si>
  <si>
    <t>tloušťka vrstvy 20 cm</t>
  </si>
  <si>
    <t>100</t>
  </si>
  <si>
    <t>460570133R00</t>
  </si>
  <si>
    <t>Zához rýhy 35/50 cm, hornina třídy 3, se zhutněním</t>
  </si>
  <si>
    <t>101</t>
  </si>
  <si>
    <t>460490012R00</t>
  </si>
  <si>
    <t>Fólie výstražná z PVC, šířka 33 cm</t>
  </si>
  <si>
    <t>102</t>
  </si>
  <si>
    <t>460050403RT1</t>
  </si>
  <si>
    <t>Jáma stožáru s patkou, v rovině, hor.3</t>
  </si>
  <si>
    <t>ruční výkop jámy</t>
  </si>
  <si>
    <t>103</t>
  </si>
  <si>
    <t>104</t>
  </si>
  <si>
    <t>105</t>
  </si>
  <si>
    <t>M65</t>
  </si>
  <si>
    <t>Elektroinstalace</t>
  </si>
  <si>
    <t>106</t>
  </si>
  <si>
    <t>650106313R00</t>
  </si>
  <si>
    <t>Montáž výložníku pro svítidlo 1 ramenný nad 35 kg</t>
  </si>
  <si>
    <t>M65_</t>
  </si>
  <si>
    <t>107</t>
  </si>
  <si>
    <t>31677770</t>
  </si>
  <si>
    <t>Výložník UD 1/C - 60</t>
  </si>
  <si>
    <t>povrchová úprava - žárový zinek oboustrann</t>
  </si>
  <si>
    <t>108</t>
  </si>
  <si>
    <t>31677743</t>
  </si>
  <si>
    <t>Výložník V1 D89</t>
  </si>
  <si>
    <t>109</t>
  </si>
  <si>
    <t>650010636RT3</t>
  </si>
  <si>
    <t>Montáž trubky ohebné plastové D 50 mm, ulož. volně</t>
  </si>
  <si>
    <t>včetně dodávky chráničky</t>
  </si>
  <si>
    <t>110</t>
  </si>
  <si>
    <t>650125719RT2</t>
  </si>
  <si>
    <t>Uložení kabelu Cu 4 x 10 mm2 volně</t>
  </si>
  <si>
    <t>včetně dodávky kabelu CYKY 4 x 10 mm2</t>
  </si>
  <si>
    <t>111</t>
  </si>
  <si>
    <t>650111146RT2</t>
  </si>
  <si>
    <t>Uložení uzem. drátu v zemi FeZn do 10 mm</t>
  </si>
  <si>
    <t>včetně dodávky drátu FeZn 10 mm</t>
  </si>
  <si>
    <t>999VD</t>
  </si>
  <si>
    <t>Vedlejší a ostatní náklady</t>
  </si>
  <si>
    <t>112</t>
  </si>
  <si>
    <t>999000001VD</t>
  </si>
  <si>
    <t>Zařízení staveniště - zřízení</t>
  </si>
  <si>
    <t>soubor</t>
  </si>
  <si>
    <t>999VD_</t>
  </si>
  <si>
    <t>113</t>
  </si>
  <si>
    <t>999000002VD</t>
  </si>
  <si>
    <t>Zařízení staveniště - demontáž</t>
  </si>
  <si>
    <t>114</t>
  </si>
  <si>
    <t>999000003VD</t>
  </si>
  <si>
    <t>Geodetické zaměření</t>
  </si>
  <si>
    <t>115</t>
  </si>
  <si>
    <t>999000004VD</t>
  </si>
  <si>
    <t>Dokumentace skutečného provedení</t>
  </si>
  <si>
    <t>116</t>
  </si>
  <si>
    <t>999000005VD</t>
  </si>
  <si>
    <t>Dílenská dokumentace</t>
  </si>
  <si>
    <t>117</t>
  </si>
  <si>
    <t>999000006VD</t>
  </si>
  <si>
    <t>Zkoušky a měření</t>
  </si>
  <si>
    <t>118</t>
  </si>
  <si>
    <t>999000007VD</t>
  </si>
  <si>
    <t>Zařízení staveniště - provoz</t>
  </si>
  <si>
    <t>měsíc</t>
  </si>
  <si>
    <t>119</t>
  </si>
  <si>
    <t>999000009VD</t>
  </si>
  <si>
    <t>Vytyčení tras IS</t>
  </si>
  <si>
    <t>120</t>
  </si>
  <si>
    <t>999000010VD</t>
  </si>
  <si>
    <t>Fotodokumentace a průzkumy</t>
  </si>
  <si>
    <t>121</t>
  </si>
  <si>
    <t>999000011VD</t>
  </si>
  <si>
    <t>DIO</t>
  </si>
  <si>
    <t>122</t>
  </si>
  <si>
    <t>999000016VD</t>
  </si>
  <si>
    <t>Archeologický průzkum</t>
  </si>
  <si>
    <t>123</t>
  </si>
  <si>
    <t>999000020VD</t>
  </si>
  <si>
    <t>Závěrečný úklid prostoru stavby</t>
  </si>
  <si>
    <t>124</t>
  </si>
  <si>
    <t>999000023VD</t>
  </si>
  <si>
    <t>Koordinační práce</t>
  </si>
  <si>
    <t>Celkem:</t>
  </si>
  <si>
    <t>Výkaz výměr</t>
  </si>
  <si>
    <t>Objekt</t>
  </si>
  <si>
    <t>Potřebné množství</t>
  </si>
  <si>
    <t>176</t>
  </si>
  <si>
    <t>š. 300 mm</t>
  </si>
  <si>
    <t>335</t>
  </si>
  <si>
    <t>š. 120 mm</t>
  </si>
  <si>
    <t>212</t>
  </si>
  <si>
    <t>přídlažba</t>
  </si>
  <si>
    <t>325</t>
  </si>
  <si>
    <t>dlažba ve vjezdech</t>
  </si>
  <si>
    <t>chodník</t>
  </si>
  <si>
    <t>4080</t>
  </si>
  <si>
    <t>1795,2</t>
  </si>
  <si>
    <t>0,3*(2071+322+269+7+816+46+51+16)</t>
  </si>
  <si>
    <t>výměna podloží</t>
  </si>
  <si>
    <t>1079,4*1,8</t>
  </si>
  <si>
    <t>(14+2)*2*2*2</t>
  </si>
  <si>
    <t>výkop pro vpusti</t>
  </si>
  <si>
    <t>5*2*2*2</t>
  </si>
  <si>
    <t>výkop pro odpojení rušených vpustí</t>
  </si>
  <si>
    <t>460*0,4*0,25</t>
  </si>
  <si>
    <t>pro trativod</t>
  </si>
  <si>
    <t>46*1,8</t>
  </si>
  <si>
    <t>850</t>
  </si>
  <si>
    <t>850*0,03*2</t>
  </si>
  <si>
    <t>2 x zálivka, 30 l/m2</t>
  </si>
  <si>
    <t>strom</t>
  </si>
  <si>
    <t>460</t>
  </si>
  <si>
    <t>460*0,4*0,1</t>
  </si>
  <si>
    <t>460*2*(0,3+0,4)</t>
  </si>
  <si>
    <t>460*2*(0,4+0,3)</t>
  </si>
  <si>
    <t>;ztratné 10%; 64,4</t>
  </si>
  <si>
    <t>Netkaná geotextilie zpevněná vpichováním ze 100% z polypropylenu se separační, ochranou, filtrační a zpevňovací funkcí.  Použití v pozemním stavitelství při výstavbě střech, zakládání staveb a výstavbě drenáží, v silničním a železničním stavitelství při výstavbě silničních a železničních násypů, zajišťování svahů, při výstavbě tunelů a drenážních systémů, ve vodním stavitelství při výstavbě nádrží, kanálů a rybníků, pro zajišťování hrází a břehů, při výstavbě ekologických staveb a skládek TKO.  Základní vlastnosti textilie odolává plísním, bakteriím a běžným chemikáliím, nemá negativní vliv na kvalitu pitné vody.  rozměr 2 x 50</t>
  </si>
  <si>
    <t>13*2*0,25</t>
  </si>
  <si>
    <t>ochrana kolektoru</t>
  </si>
  <si>
    <t>(13+2)*2*0,25</t>
  </si>
  <si>
    <t>13*2</t>
  </si>
  <si>
    <t>13*2*2*20*0,888*1,2/1000</t>
  </si>
  <si>
    <t>R12 á 100 mm, oba směry, oba povrchy, 20% na přesahy</t>
  </si>
  <si>
    <t>2*13+2*(13+2)*0,25</t>
  </si>
  <si>
    <t>ochrana hydroizolace</t>
  </si>
  <si>
    <t>0,5*0,5*0,5*24/1,5</t>
  </si>
  <si>
    <t>patky pro zábradlí</t>
  </si>
  <si>
    <t>0,5*0,5*0,5*24/1,5*1,8</t>
  </si>
  <si>
    <t>2071</t>
  </si>
  <si>
    <t>S1</t>
  </si>
  <si>
    <t>2071+460*0,5</t>
  </si>
  <si>
    <t>S1, ŠD_A</t>
  </si>
  <si>
    <t>322+269+7</t>
  </si>
  <si>
    <t>S2, ŠD_B</t>
  </si>
  <si>
    <t>816+46+51</t>
  </si>
  <si>
    <t>S3, ŠD_B</t>
  </si>
  <si>
    <t>S4</t>
  </si>
  <si>
    <t>S4, ŠD_A</t>
  </si>
  <si>
    <t>2071+322+269+7+816+46+51+16</t>
  </si>
  <si>
    <t>2*2071</t>
  </si>
  <si>
    <t>816</t>
  </si>
  <si>
    <t>S3</t>
  </si>
  <si>
    <t>S3, ACO 11</t>
  </si>
  <si>
    <t>322</t>
  </si>
  <si>
    <t>S2</t>
  </si>
  <si>
    <t>322*17,6</t>
  </si>
  <si>
    <t>;ztratné 2%; 113,344</t>
  </si>
  <si>
    <t>17,6 ks/m2</t>
  </si>
  <si>
    <t>;ztratné 2%; 0,92</t>
  </si>
  <si>
    <t>269+7</t>
  </si>
  <si>
    <t>;ztratné 2%; 1,48</t>
  </si>
  <si>
    <t>Tato užitečná specializovaná dlažba s výrazně tvarovaným povrchem SLP je určena jako doplněk ke všem typům zpevněných ploch tam, kde je nutno vést nevidomé a slabozraké spoluobčany určitým směrem, nebo je upozornit na změnu směru, přechod pro chodce, zastávku MHD, na vchod do budovy apod. Speciálně upravený povrch dlažby s výstupky je jednoznačně a nezaměnitelně zjistitelný hmatově – holí - i nášlapem, proto může pomoci při budování vodících pruhů a signálních pásů v rámci běžného dláždění pro chodce.  dodáváno včetně půlek (případně krajovek) Impregnace Protect System I</t>
  </si>
  <si>
    <t>269</t>
  </si>
  <si>
    <t>;ztratné 2%; 5,38</t>
  </si>
  <si>
    <t>200</t>
  </si>
  <si>
    <t>35*10</t>
  </si>
  <si>
    <t>demontáž zábradlí</t>
  </si>
  <si>
    <t>nové vpusti</t>
  </si>
  <si>
    <t>normální</t>
  </si>
  <si>
    <t>snížená</t>
  </si>
  <si>
    <t>159</t>
  </si>
  <si>
    <t>646</t>
  </si>
  <si>
    <t>399</t>
  </si>
  <si>
    <t>460/0,25</t>
  </si>
  <si>
    <t>;ztratné 2%; 36,8</t>
  </si>
  <si>
    <t>B28</t>
  </si>
  <si>
    <t>IP12+s225</t>
  </si>
  <si>
    <t>C4a</t>
  </si>
  <si>
    <t>E1</t>
  </si>
  <si>
    <t>E2b</t>
  </si>
  <si>
    <t>Typy a provedení dopravního značení jsou v souladu s příslušným zákonem a vyhláškou č. 30/2001 Sb. a jsou schváleny Ministerstvem dopravy a spojů k používání na pozemních komunikacích.  E - Dopravní značka - dodatková tabulka EG - Enginner Grade - reflexní fólie tř. 1  štít z pozinkovaného plechu s dvojitým ohybem okraje po celém obvodu značky retroreflexní fólie  I. třídy 3M EG nebo podobná, záruka 7 let</t>
  </si>
  <si>
    <t>B30</t>
  </si>
  <si>
    <t>Typy a provedení dopravního značení jsou v souladu s příslušným zákonem a vyhláškou č. 30/2001 Sb. a jsou schváleny Ministerstvem dopravy a spojů k používání na pozemních komunikacích.  EG - Enginner Grade - reflexní fólie tř. 1 HlG  -  Hight Intensity Grade - reflexní fólie tř. 2  štít z pozinkovaného plechu s dvojitým ohybem okraje po celém obvodu značky retroreflexní fólie  II. třídy 3M EG nebo podobná, záruka 10 let</t>
  </si>
  <si>
    <t>P2</t>
  </si>
  <si>
    <t>Typy a provedení dopravního značení jsou v souladu s příslušným zákonem a vyhláškou č. 30/2001 Sb. a jsou schváleny Ministerstvem dopravy a spojů k používání na pozemních komunikacích.  FeZn plech - rám  EG - Enginner Grade - reflexní fólie tř. 1 HlG  -  Hight Intensity Grade - reflexní fólie tř. 2  štít z pozinkovaného plechu s dvojitým ohybem okraje po celém obvodu značky retroreflexní fólie  II. třídy 3M HI nebo podobná, záruka 10 let</t>
  </si>
  <si>
    <t>V10b, V13</t>
  </si>
  <si>
    <t>38*0,5</t>
  </si>
  <si>
    <t>zebry</t>
  </si>
  <si>
    <t>2*1</t>
  </si>
  <si>
    <t>invalida</t>
  </si>
  <si>
    <t>6*1</t>
  </si>
  <si>
    <t>znak lidí 6x</t>
  </si>
  <si>
    <t>7+3</t>
  </si>
  <si>
    <t>4+8</t>
  </si>
  <si>
    <t>109+4*3</t>
  </si>
  <si>
    <t>512+109</t>
  </si>
  <si>
    <t>7+8+2+1</t>
  </si>
  <si>
    <t>18*0,6*0,6*0,8</t>
  </si>
  <si>
    <t>patky pro sloupy VO</t>
  </si>
  <si>
    <t>18*0,6*0,6*0,8*1,8</t>
  </si>
  <si>
    <t>jáma pro stožáry VO</t>
  </si>
  <si>
    <t>montáž shora</t>
  </si>
  <si>
    <t>montáž z boku</t>
  </si>
  <si>
    <t>512+(19+4)*3</t>
  </si>
  <si>
    <t>statická zkouška pláně</t>
  </si>
</sst>
</file>

<file path=xl/styles.xml><?xml version="1.0" encoding="utf-8"?>
<styleSheet xmlns="http://schemas.openxmlformats.org/spreadsheetml/2006/main">
  <numFmts count="0"/>
  <fonts count="12">
    <font>
      <sz val="11"/>
      <name val="Calibri"/>
      <charset val="1"/>
    </font>
    <font>
      <color rgb="FF000000"/>
      <sz val="18"/>
      <name val="Arial"/>
      <charset val="238"/>
    </font>
    <font>
      <color rgb="FF000000"/>
      <sz val="10"/>
      <name val="Arial"/>
      <charset val="238"/>
    </font>
    <font>
      <color rgb="FF000000"/>
      <sz val="10"/>
      <name val="Arial"/>
      <charset val="238"/>
      <b/>
    </font>
    <font>
      <color rgb="FF000000"/>
      <sz val="18"/>
      <name val="Arial"/>
      <charset val="238"/>
      <b/>
    </font>
    <font>
      <color rgb="FF000000"/>
      <sz val="20"/>
      <name val="Arial"/>
      <charset val="238"/>
      <b/>
    </font>
    <font>
      <color rgb="FF000000"/>
      <sz val="11"/>
      <name val="Arial"/>
      <charset val="238"/>
      <b/>
    </font>
    <font>
      <color rgb="FF000000"/>
      <sz val="12"/>
      <name val="Arial"/>
      <charset val="238"/>
      <b/>
    </font>
    <font>
      <color rgb="FF000000"/>
      <sz val="12"/>
      <name val="Arial"/>
      <charset val="238"/>
    </font>
    <font>
      <color rgb="FF000000"/>
      <sz val="8"/>
      <name val="Arial"/>
      <charset val="238"/>
      <i/>
    </font>
    <font>
      <color rgb="FF000000"/>
      <sz val="10"/>
      <name val="Arial"/>
      <charset val="238"/>
      <i/>
    </font>
    <font>
      <color rgb="FF000000"/>
      <sz val="9"/>
      <name val="Arial"/>
      <charset val="238"/>
      <i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CCFFFF"/>
      </patternFill>
    </fill>
  </fills>
  <borders count="8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borderId="0" fillId="0" fontId="0" numFmtId="0"/>
  </cellStyleXfs>
  <cellXfs count="173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2" numFmtId="1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7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2" fontId="5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0" fontId="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5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8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0" fontId="8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2" fontId="7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2" fontId="7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7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7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7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3" fontId="2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0" fillId="3" fontId="2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3" fontId="2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55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3" fontId="2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56" fillId="3" fontId="2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57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3" fontId="3" numFmtId="0" xfId="0">
      <alignment horizontal="center" vertical="center" textRotation="0" shrinkToFit="false" wrapText="false"/>
      <protection hidden="false" locked="false"/>
    </xf>
    <xf applyAlignment="true" applyBorder="true" applyFill="true" applyNumberFormat="true" applyFont="true" applyProtection="true" borderId="42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2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3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4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5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3" fontId="3" numFmtId="0" xfId="0">
      <alignment horizontal="center" vertical="center" textRotation="0" shrinkToFit="false" wrapText="false"/>
      <protection hidden="false" locked="false"/>
    </xf>
    <xf applyAlignment="true" applyBorder="true" applyFill="true" applyNumberFormat="true" applyFont="true" applyProtection="true" borderId="68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9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2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0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4" fontId="2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40" fillId="2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2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4" fontId="2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2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2" numFmtId="4" xfId="0">
      <alignment horizontal="righ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0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0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0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8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3" fontId="2" numFmtId="4" xfId="0">
      <alignment horizontal="right" vertical="center" textRotation="0" shrinkToFit="false" wrapText="false"/>
      <protection hidden="false" locked="false"/>
    </xf>
    <xf applyAlignment="true" applyBorder="true" applyFill="true" applyNumberFormat="true" applyFont="true" applyProtection="true" borderId="9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4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5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6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7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8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9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2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1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1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1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0" numFmtId="0" xfId="0">
      <alignment horizontal="general" vertical="bottom" textRotation="0" shrinkToFit="false" wrapText="false"/>
      <protection hidden="false" locked="true"/>
    </xf>
  </cellXfs>
  <dxfs count="0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drawing1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I37"/>
  <sheetViews>
    <sheetView workbookViewId="0" tabSelected="true" showZeros="true" showFormulas="false" showGridLines="true" showRowColHeaders="true">
      <selection sqref="A37:I37" activeCell="A37"/>
    </sheetView>
  </sheetViews>
  <sheetFormatPr defaultColWidth="12.140625" customHeight="true" defaultRowHeight="15"/>
  <cols>
    <col max="1" min="1" style="0" width="9.140625" customWidth="true"/>
    <col max="2" min="2" style="0" width="12.85546875" customWidth="true"/>
    <col max="3" min="3" style="0" width="27.140625" customWidth="true"/>
    <col max="4" min="4" style="0" width="10" customWidth="true"/>
    <col max="5" min="5" style="0" width="14" customWidth="true"/>
    <col max="6" min="6" style="0" width="27.140625" customWidth="true"/>
    <col max="7" min="7" style="0" width="9.140625" customWidth="true"/>
    <col max="8" min="8" style="0" width="12.85546875" customWidth="true"/>
    <col max="9" min="9" style="0" width="27.140625" customWidth="true"/>
  </cols>
  <sheetData>
    <row r="1" customHeight="true" ht="54.75">
      <c r="A1" s="1" t="s">
        <v>0</v>
      </c>
      <c r="B1" s="2"/>
      <c r="C1" s="2"/>
      <c r="D1" s="2"/>
      <c r="E1" s="2"/>
      <c r="F1" s="2"/>
      <c r="G1" s="2"/>
      <c r="H1" s="2"/>
      <c r="I1" s="2"/>
    </row>
    <row r="2">
      <c r="A2" s="3" t="s">
        <v>1</v>
      </c>
      <c r="B2" s="4"/>
      <c r="C2" s="5">
        <f>'Stavební rozpočet'!C2</f>
      </c>
      <c r="D2" s="6"/>
      <c r="E2" s="7" t="s">
        <v>2</v>
      </c>
      <c r="F2" s="7">
        <f>'Stavební rozpočet'!I2</f>
      </c>
      <c r="G2" s="4"/>
      <c r="H2" s="7" t="s">
        <v>3</v>
      </c>
      <c r="I2" s="8" t="s">
        <v>4</v>
      </c>
    </row>
    <row r="3" customHeight="true" ht="25.5">
      <c r="A3" s="9"/>
      <c r="B3" s="10"/>
      <c r="C3" s="11"/>
      <c r="D3" s="11"/>
      <c r="E3" s="10"/>
      <c r="F3" s="10"/>
      <c r="G3" s="10"/>
      <c r="H3" s="10"/>
      <c r="I3" s="12"/>
    </row>
    <row r="4">
      <c r="A4" s="13" t="s">
        <v>5</v>
      </c>
      <c r="B4" s="10"/>
      <c r="C4" s="14">
        <f>'Stavební rozpočet'!C4</f>
      </c>
      <c r="D4" s="10"/>
      <c r="E4" s="14" t="s">
        <v>6</v>
      </c>
      <c r="F4" s="14">
        <f>'Stavební rozpočet'!I4</f>
      </c>
      <c r="G4" s="10"/>
      <c r="H4" s="14" t="s">
        <v>3</v>
      </c>
      <c r="I4" s="12" t="s">
        <v>7</v>
      </c>
    </row>
    <row r="5" customHeight="true" ht="15">
      <c r="A5" s="9"/>
      <c r="B5" s="10"/>
      <c r="C5" s="10"/>
      <c r="D5" s="10"/>
      <c r="E5" s="10"/>
      <c r="F5" s="10"/>
      <c r="G5" s="10"/>
      <c r="H5" s="10"/>
      <c r="I5" s="12"/>
    </row>
    <row r="6">
      <c r="A6" s="13" t="s">
        <v>8</v>
      </c>
      <c r="B6" s="10"/>
      <c r="C6" s="14">
        <f>'Stavební rozpočet'!C6</f>
      </c>
      <c r="D6" s="10"/>
      <c r="E6" s="14" t="s">
        <v>9</v>
      </c>
      <c r="F6" s="14">
        <f>'Stavební rozpočet'!I6</f>
      </c>
      <c r="G6" s="10"/>
      <c r="H6" s="14" t="s">
        <v>3</v>
      </c>
      <c r="I6" s="12" t="s">
        <v>10</v>
      </c>
    </row>
    <row r="7" customHeight="true" ht="15">
      <c r="A7" s="9"/>
      <c r="B7" s="10"/>
      <c r="C7" s="10"/>
      <c r="D7" s="10"/>
      <c r="E7" s="10"/>
      <c r="F7" s="10"/>
      <c r="G7" s="10"/>
      <c r="H7" s="10"/>
      <c r="I7" s="12"/>
    </row>
    <row r="8">
      <c r="A8" s="13" t="s">
        <v>11</v>
      </c>
      <c r="B8" s="10"/>
      <c r="C8" s="14">
        <f>'Stavební rozpočet'!G4</f>
      </c>
      <c r="D8" s="10"/>
      <c r="E8" s="14" t="s">
        <v>12</v>
      </c>
      <c r="F8" s="14">
        <f>'Stavební rozpočet'!G6</f>
      </c>
      <c r="G8" s="10"/>
      <c r="H8" s="10" t="s">
        <v>13</v>
      </c>
      <c r="I8" s="15" t="n">
        <v>124</v>
      </c>
    </row>
    <row r="9">
      <c r="A9" s="9"/>
      <c r="B9" s="10"/>
      <c r="C9" s="10"/>
      <c r="D9" s="10"/>
      <c r="E9" s="10"/>
      <c r="F9" s="10"/>
      <c r="G9" s="10"/>
      <c r="H9" s="10"/>
      <c r="I9" s="12"/>
    </row>
    <row r="10">
      <c r="A10" s="13" t="s">
        <v>14</v>
      </c>
      <c r="B10" s="10"/>
      <c r="C10" s="14">
        <f>'Stavební rozpočet'!C8</f>
      </c>
      <c r="D10" s="10"/>
      <c r="E10" s="14" t="s">
        <v>15</v>
      </c>
      <c r="F10" s="14">
        <f>'Stavební rozpočet'!I8</f>
      </c>
      <c r="G10" s="10"/>
      <c r="H10" s="10" t="s">
        <v>16</v>
      </c>
      <c r="I10" s="16">
        <f>'Stavební rozpočet'!G8</f>
      </c>
    </row>
    <row r="11">
      <c r="A11" s="17"/>
      <c r="B11" s="18"/>
      <c r="C11" s="18"/>
      <c r="D11" s="18"/>
      <c r="E11" s="18"/>
      <c r="F11" s="18"/>
      <c r="G11" s="18"/>
      <c r="H11" s="18"/>
      <c r="I11" s="19"/>
    </row>
    <row r="12">
      <c r="A12" s="20" t="s">
        <v>17</v>
      </c>
      <c r="B12" s="20"/>
      <c r="C12" s="20"/>
      <c r="D12" s="20"/>
      <c r="E12" s="20"/>
      <c r="F12" s="20"/>
      <c r="G12" s="20"/>
      <c r="H12" s="20"/>
      <c r="I12" s="20"/>
    </row>
    <row r="13" customHeight="true" ht="26.25">
      <c r="A13" s="21" t="s">
        <v>18</v>
      </c>
      <c r="B13" s="22" t="s">
        <v>19</v>
      </c>
      <c r="C13" s="23"/>
      <c r="D13" s="24" t="s">
        <v>20</v>
      </c>
      <c r="E13" s="22" t="s">
        <v>21</v>
      </c>
      <c r="F13" s="23"/>
      <c r="G13" s="24" t="s">
        <v>22</v>
      </c>
      <c r="H13" s="22" t="s">
        <v>23</v>
      </c>
      <c r="I13" s="23"/>
    </row>
    <row r="14">
      <c r="A14" s="25" t="s">
        <v>24</v>
      </c>
      <c r="B14" s="26" t="s">
        <v>25</v>
      </c>
      <c r="C14" s="27">
        <f>SUM('Stavební rozpočet'!AB12:AB230)</f>
      </c>
      <c r="D14" s="28" t="s">
        <v>26</v>
      </c>
      <c r="E14" s="29"/>
      <c r="F14" s="27">
        <f>VORN!I15</f>
      </c>
      <c r="G14" s="28" t="s">
        <v>27</v>
      </c>
      <c r="H14" s="29"/>
      <c r="I14" s="30">
        <f>VORN!I21</f>
      </c>
    </row>
    <row r="15">
      <c r="A15" s="31" t="s">
        <v>10</v>
      </c>
      <c r="B15" s="26" t="s">
        <v>28</v>
      </c>
      <c r="C15" s="27">
        <f>SUM('Stavební rozpočet'!AC12:AC230)</f>
      </c>
      <c r="D15" s="28" t="s">
        <v>29</v>
      </c>
      <c r="E15" s="29"/>
      <c r="F15" s="27">
        <f>VORN!I16</f>
      </c>
      <c r="G15" s="28" t="s">
        <v>30</v>
      </c>
      <c r="H15" s="29"/>
      <c r="I15" s="30">
        <f>VORN!I22</f>
      </c>
    </row>
    <row r="16">
      <c r="A16" s="25" t="s">
        <v>31</v>
      </c>
      <c r="B16" s="26" t="s">
        <v>25</v>
      </c>
      <c r="C16" s="27">
        <f>SUM('Stavební rozpočet'!AD12:AD230)</f>
      </c>
      <c r="D16" s="28" t="s">
        <v>32</v>
      </c>
      <c r="E16" s="29"/>
      <c r="F16" s="27">
        <f>VORN!I17</f>
      </c>
      <c r="G16" s="28" t="s">
        <v>33</v>
      </c>
      <c r="H16" s="29"/>
      <c r="I16" s="30">
        <f>VORN!I23</f>
      </c>
    </row>
    <row r="17">
      <c r="A17" s="31" t="s">
        <v>10</v>
      </c>
      <c r="B17" s="26" t="s">
        <v>28</v>
      </c>
      <c r="C17" s="27">
        <f>SUM('Stavební rozpočet'!AE12:AE230)</f>
      </c>
      <c r="D17" s="28" t="s">
        <v>10</v>
      </c>
      <c r="E17" s="29"/>
      <c r="F17" s="30" t="s">
        <v>10</v>
      </c>
      <c r="G17" s="28" t="s">
        <v>34</v>
      </c>
      <c r="H17" s="29"/>
      <c r="I17" s="30">
        <f>VORN!I24</f>
      </c>
    </row>
    <row r="18">
      <c r="A18" s="25" t="s">
        <v>35</v>
      </c>
      <c r="B18" s="26" t="s">
        <v>25</v>
      </c>
      <c r="C18" s="27">
        <f>SUM('Stavební rozpočet'!AF12:AF230)</f>
      </c>
      <c r="D18" s="28" t="s">
        <v>10</v>
      </c>
      <c r="E18" s="29"/>
      <c r="F18" s="30" t="s">
        <v>10</v>
      </c>
      <c r="G18" s="28" t="s">
        <v>36</v>
      </c>
      <c r="H18" s="29"/>
      <c r="I18" s="30">
        <f>VORN!I25</f>
      </c>
    </row>
    <row r="19">
      <c r="A19" s="31" t="s">
        <v>10</v>
      </c>
      <c r="B19" s="26" t="s">
        <v>28</v>
      </c>
      <c r="C19" s="27">
        <f>SUM('Stavební rozpočet'!AG12:AG230)</f>
      </c>
      <c r="D19" s="28" t="s">
        <v>10</v>
      </c>
      <c r="E19" s="29"/>
      <c r="F19" s="30" t="s">
        <v>10</v>
      </c>
      <c r="G19" s="28" t="s">
        <v>37</v>
      </c>
      <c r="H19" s="29"/>
      <c r="I19" s="30">
        <f>VORN!I26</f>
      </c>
    </row>
    <row r="20">
      <c r="A20" s="32" t="s">
        <v>38</v>
      </c>
      <c r="B20" s="33"/>
      <c r="C20" s="27">
        <f>SUM('Stavební rozpočet'!AH12:AH230)</f>
      </c>
      <c r="D20" s="28" t="s">
        <v>10</v>
      </c>
      <c r="E20" s="29"/>
      <c r="F20" s="30" t="s">
        <v>10</v>
      </c>
      <c r="G20" s="28" t="s">
        <v>10</v>
      </c>
      <c r="H20" s="29"/>
      <c r="I20" s="30" t="s">
        <v>10</v>
      </c>
    </row>
    <row r="21">
      <c r="A21" s="34" t="s">
        <v>39</v>
      </c>
      <c r="B21" s="35"/>
      <c r="C21" s="36">
        <f>SUM('Stavební rozpočet'!Z12:Z230)</f>
      </c>
      <c r="D21" s="37" t="s">
        <v>10</v>
      </c>
      <c r="E21" s="38"/>
      <c r="F21" s="39" t="s">
        <v>10</v>
      </c>
      <c r="G21" s="37" t="s">
        <v>10</v>
      </c>
      <c r="H21" s="38"/>
      <c r="I21" s="39" t="s">
        <v>10</v>
      </c>
    </row>
    <row r="22" customHeight="true" ht="16.5">
      <c r="A22" s="40" t="s">
        <v>40</v>
      </c>
      <c r="B22" s="41"/>
      <c r="C22" s="42">
        <f>SUM(C14:C21)</f>
      </c>
      <c r="D22" s="43" t="s">
        <v>41</v>
      </c>
      <c r="E22" s="41"/>
      <c r="F22" s="42">
        <f>SUM(F14:F21)</f>
      </c>
      <c r="G22" s="43" t="s">
        <v>42</v>
      </c>
      <c r="H22" s="41"/>
      <c r="I22" s="42">
        <f>SUM(I14:I21)</f>
      </c>
    </row>
    <row r="23">
      <c r="D23" s="32" t="s">
        <v>43</v>
      </c>
      <c r="E23" s="33"/>
      <c r="F23" s="44" t="n">
        <v>0</v>
      </c>
      <c r="G23" s="45" t="s">
        <v>44</v>
      </c>
      <c r="H23" s="33"/>
      <c r="I23" s="27" t="n">
        <v>0</v>
      </c>
    </row>
    <row r="24">
      <c r="G24" s="32" t="s">
        <v>45</v>
      </c>
      <c r="H24" s="33"/>
      <c r="I24" s="36">
        <f>vorn_sum</f>
      </c>
    </row>
    <row r="25">
      <c r="G25" s="32" t="s">
        <v>46</v>
      </c>
      <c r="H25" s="33"/>
      <c r="I25" s="42" t="n">
        <v>0</v>
      </c>
    </row>
    <row r="27">
      <c r="A27" s="46" t="s">
        <v>47</v>
      </c>
      <c r="B27" s="47"/>
      <c r="C27" s="48">
        <f>SUM('Stavební rozpočet'!AJ12:AJ230)</f>
      </c>
    </row>
    <row r="28">
      <c r="A28" s="49" t="s">
        <v>48</v>
      </c>
      <c r="B28" s="50"/>
      <c r="C28" s="51">
        <f>SUM('Stavební rozpočet'!AK12:AK230)</f>
      </c>
      <c r="D28" s="52" t="s">
        <v>49</v>
      </c>
      <c r="E28" s="47"/>
      <c r="F28" s="48">
        <f>ROUND(C28*(12/100),2)</f>
      </c>
      <c r="G28" s="52" t="s">
        <v>50</v>
      </c>
      <c r="H28" s="47"/>
      <c r="I28" s="48">
        <f>SUM(C27:C29)</f>
      </c>
    </row>
    <row r="29">
      <c r="A29" s="49" t="s">
        <v>51</v>
      </c>
      <c r="B29" s="50"/>
      <c r="C29" s="51">
        <f>SUM('Stavební rozpočet'!AL12:AL230)+(F22+I22+F23+I23+I24+I25)</f>
      </c>
      <c r="D29" s="53" t="s">
        <v>52</v>
      </c>
      <c r="E29" s="50"/>
      <c r="F29" s="51">
        <f>ROUND(C29*(21/100),2)</f>
      </c>
      <c r="G29" s="53" t="s">
        <v>53</v>
      </c>
      <c r="H29" s="50"/>
      <c r="I29" s="51">
        <f>SUM(F28:F29)+I28</f>
      </c>
    </row>
    <row r="31">
      <c r="A31" s="54" t="s">
        <v>54</v>
      </c>
      <c r="B31" s="55"/>
      <c r="C31" s="56"/>
      <c r="D31" s="57" t="s">
        <v>55</v>
      </c>
      <c r="E31" s="55"/>
      <c r="F31" s="56"/>
      <c r="G31" s="57" t="s">
        <v>56</v>
      </c>
      <c r="H31" s="55"/>
      <c r="I31" s="56"/>
    </row>
    <row r="32">
      <c r="A32" s="58" t="s">
        <v>10</v>
      </c>
      <c r="B32" s="59"/>
      <c r="C32" s="60"/>
      <c r="D32" s="61" t="s">
        <v>10</v>
      </c>
      <c r="E32" s="59"/>
      <c r="F32" s="60"/>
      <c r="G32" s="61" t="s">
        <v>10</v>
      </c>
      <c r="H32" s="59"/>
      <c r="I32" s="60"/>
    </row>
    <row r="33">
      <c r="A33" s="58" t="s">
        <v>10</v>
      </c>
      <c r="B33" s="59"/>
      <c r="C33" s="60"/>
      <c r="D33" s="61" t="s">
        <v>10</v>
      </c>
      <c r="E33" s="59"/>
      <c r="F33" s="60"/>
      <c r="G33" s="61" t="s">
        <v>10</v>
      </c>
      <c r="H33" s="59"/>
      <c r="I33" s="60"/>
    </row>
    <row r="34">
      <c r="A34" s="58" t="s">
        <v>10</v>
      </c>
      <c r="B34" s="59"/>
      <c r="C34" s="60"/>
      <c r="D34" s="61" t="s">
        <v>10</v>
      </c>
      <c r="E34" s="59"/>
      <c r="F34" s="60"/>
      <c r="G34" s="61" t="s">
        <v>10</v>
      </c>
      <c r="H34" s="59"/>
      <c r="I34" s="60"/>
    </row>
    <row r="35">
      <c r="A35" s="62" t="s">
        <v>57</v>
      </c>
      <c r="B35" s="63"/>
      <c r="C35" s="64"/>
      <c r="D35" s="65" t="s">
        <v>57</v>
      </c>
      <c r="E35" s="63"/>
      <c r="F35" s="64"/>
      <c r="G35" s="65" t="s">
        <v>57</v>
      </c>
      <c r="H35" s="63"/>
      <c r="I35" s="64"/>
    </row>
    <row r="36">
      <c r="A36" s="66" t="s">
        <v>58</v>
      </c>
    </row>
    <row r="37" customHeight="true" ht="12.75">
      <c r="A37" s="14" t="s">
        <v>10</v>
      </c>
      <c r="B37" s="10"/>
      <c r="C37" s="10"/>
      <c r="D37" s="10"/>
      <c r="E37" s="10"/>
      <c r="F37" s="10"/>
      <c r="G37" s="10"/>
      <c r="H37" s="10"/>
      <c r="I37" s="10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8B3"/>
  <mergeCells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H2:H3"/>
    <mergeCell ref="H4:H5"/>
    <mergeCell ref="H6:H7"/>
    <mergeCell ref="H8:H9"/>
    <mergeCell ref="H10:H11"/>
    <mergeCell ref="I2:I3"/>
    <mergeCell ref="I4:I5"/>
    <mergeCell ref="I6:I7"/>
    <mergeCell ref="I8:I9"/>
    <mergeCell ref="I10:I11"/>
    <mergeCell ref="A12:I12"/>
    <mergeCell ref="B13:C13"/>
    <mergeCell ref="E13:F13"/>
    <mergeCell ref="H13:I1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1:C31"/>
    <mergeCell ref="A32:C32"/>
    <mergeCell ref="A33:C33"/>
    <mergeCell ref="A34:C34"/>
    <mergeCell ref="A35:C35"/>
    <mergeCell ref="D31:F31"/>
    <mergeCell ref="D32:F32"/>
    <mergeCell ref="D33:F33"/>
    <mergeCell ref="D34:F34"/>
    <mergeCell ref="D35:F35"/>
    <mergeCell ref="G31:I31"/>
    <mergeCell ref="G32:I32"/>
    <mergeCell ref="G33:I33"/>
    <mergeCell ref="G34:I34"/>
    <mergeCell ref="G35:I35"/>
    <mergeCell ref="A37:I37"/>
  </mergeCells>
  <pageMargins left="0.393999993801117" top="0.591000020503998" right="0.393999993801117" bottom="0.591000020503998" header="0" footer="0"/>
  <pageSetup orientation="landscape" fitToHeight="1" fitToWidth="1" cellComments="none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I36"/>
  <sheetViews>
    <sheetView workbookViewId="0" showZeros="true" showFormulas="false" showGridLines="true" showRowColHeaders="true">
      <selection sqref="A36:E36" activeCell="A36"/>
    </sheetView>
  </sheetViews>
  <sheetFormatPr defaultColWidth="12.140625" customHeight="true" defaultRowHeight="15"/>
  <cols>
    <col max="1" min="1" style="0" width="9.140625" customWidth="true"/>
    <col max="2" min="2" style="0" width="12.85546875" customWidth="true"/>
    <col max="3" min="3" style="0" width="22.85546875" customWidth="true"/>
    <col max="4" min="4" style="0" width="10" customWidth="true"/>
    <col max="5" min="5" style="0" width="14" customWidth="true"/>
    <col max="6" min="6" style="0" width="22.85546875" customWidth="true"/>
    <col max="7" min="7" style="0" width="9.140625" customWidth="true"/>
    <col max="8" min="8" style="0" width="17.140625" customWidth="true"/>
    <col max="9" min="9" style="0" width="22.85546875" customWidth="true"/>
  </cols>
  <sheetData>
    <row r="1" customHeight="true" ht="54.75">
      <c r="A1" s="1" t="s">
        <v>59</v>
      </c>
      <c r="B1" s="2"/>
      <c r="C1" s="2"/>
      <c r="D1" s="2"/>
      <c r="E1" s="2"/>
      <c r="F1" s="2"/>
      <c r="G1" s="2"/>
      <c r="H1" s="2"/>
      <c r="I1" s="2"/>
    </row>
    <row r="2">
      <c r="A2" s="3" t="s">
        <v>1</v>
      </c>
      <c r="B2" s="4"/>
      <c r="C2" s="5">
        <f>'Stavební rozpočet'!C2</f>
      </c>
      <c r="D2" s="6"/>
      <c r="E2" s="7" t="s">
        <v>2</v>
      </c>
      <c r="F2" s="7">
        <f>'Stavební rozpočet'!I2</f>
      </c>
      <c r="G2" s="4"/>
      <c r="H2" s="7" t="s">
        <v>3</v>
      </c>
      <c r="I2" s="8" t="s">
        <v>4</v>
      </c>
    </row>
    <row r="3" customHeight="true" ht="25.5">
      <c r="A3" s="9"/>
      <c r="B3" s="10"/>
      <c r="C3" s="11"/>
      <c r="D3" s="11"/>
      <c r="E3" s="10"/>
      <c r="F3" s="10"/>
      <c r="G3" s="10"/>
      <c r="H3" s="10"/>
      <c r="I3" s="12"/>
    </row>
    <row r="4">
      <c r="A4" s="13" t="s">
        <v>5</v>
      </c>
      <c r="B4" s="10"/>
      <c r="C4" s="14">
        <f>'Stavební rozpočet'!C4</f>
      </c>
      <c r="D4" s="10"/>
      <c r="E4" s="14" t="s">
        <v>6</v>
      </c>
      <c r="F4" s="14">
        <f>'Stavební rozpočet'!I4</f>
      </c>
      <c r="G4" s="10"/>
      <c r="H4" s="14" t="s">
        <v>3</v>
      </c>
      <c r="I4" s="12" t="s">
        <v>7</v>
      </c>
    </row>
    <row r="5" customHeight="true" ht="15">
      <c r="A5" s="9"/>
      <c r="B5" s="10"/>
      <c r="C5" s="10"/>
      <c r="D5" s="10"/>
      <c r="E5" s="10"/>
      <c r="F5" s="10"/>
      <c r="G5" s="10"/>
      <c r="H5" s="10"/>
      <c r="I5" s="12"/>
    </row>
    <row r="6">
      <c r="A6" s="13" t="s">
        <v>8</v>
      </c>
      <c r="B6" s="10"/>
      <c r="C6" s="14">
        <f>'Stavební rozpočet'!C6</f>
      </c>
      <c r="D6" s="10"/>
      <c r="E6" s="14" t="s">
        <v>9</v>
      </c>
      <c r="F6" s="14">
        <f>'Stavební rozpočet'!I6</f>
      </c>
      <c r="G6" s="10"/>
      <c r="H6" s="14" t="s">
        <v>3</v>
      </c>
      <c r="I6" s="12" t="s">
        <v>10</v>
      </c>
    </row>
    <row r="7" customHeight="true" ht="15">
      <c r="A7" s="9"/>
      <c r="B7" s="10"/>
      <c r="C7" s="10"/>
      <c r="D7" s="10"/>
      <c r="E7" s="10"/>
      <c r="F7" s="10"/>
      <c r="G7" s="10"/>
      <c r="H7" s="10"/>
      <c r="I7" s="12"/>
    </row>
    <row r="8">
      <c r="A8" s="13" t="s">
        <v>11</v>
      </c>
      <c r="B8" s="10"/>
      <c r="C8" s="14">
        <f>'Stavební rozpočet'!G4</f>
      </c>
      <c r="D8" s="10"/>
      <c r="E8" s="14" t="s">
        <v>12</v>
      </c>
      <c r="F8" s="14">
        <f>'Stavební rozpočet'!G6</f>
      </c>
      <c r="G8" s="10"/>
      <c r="H8" s="10" t="s">
        <v>13</v>
      </c>
      <c r="I8" s="15" t="n">
        <v>124</v>
      </c>
    </row>
    <row r="9">
      <c r="A9" s="9"/>
      <c r="B9" s="10"/>
      <c r="C9" s="10"/>
      <c r="D9" s="10"/>
      <c r="E9" s="10"/>
      <c r="F9" s="10"/>
      <c r="G9" s="10"/>
      <c r="H9" s="10"/>
      <c r="I9" s="12"/>
    </row>
    <row r="10">
      <c r="A10" s="13" t="s">
        <v>14</v>
      </c>
      <c r="B10" s="10"/>
      <c r="C10" s="14">
        <f>'Stavební rozpočet'!C8</f>
      </c>
      <c r="D10" s="10"/>
      <c r="E10" s="14" t="s">
        <v>15</v>
      </c>
      <c r="F10" s="14">
        <f>'Stavební rozpočet'!I8</f>
      </c>
      <c r="G10" s="10"/>
      <c r="H10" s="10" t="s">
        <v>16</v>
      </c>
      <c r="I10" s="16">
        <f>'Stavební rozpočet'!G8</f>
      </c>
    </row>
    <row r="11">
      <c r="A11" s="17"/>
      <c r="B11" s="18"/>
      <c r="C11" s="18"/>
      <c r="D11" s="18"/>
      <c r="E11" s="18"/>
      <c r="F11" s="18"/>
      <c r="G11" s="18"/>
      <c r="H11" s="18"/>
      <c r="I11" s="19"/>
    </row>
    <row r="13">
      <c r="A13" s="67" t="s">
        <v>60</v>
      </c>
      <c r="B13" s="67"/>
      <c r="C13" s="67"/>
      <c r="D13" s="67"/>
      <c r="E13" s="67"/>
    </row>
    <row r="14">
      <c r="A14" s="68" t="s">
        <v>61</v>
      </c>
      <c r="B14" s="69"/>
      <c r="C14" s="69"/>
      <c r="D14" s="69"/>
      <c r="E14" s="70"/>
      <c r="F14" s="71" t="s">
        <v>62</v>
      </c>
      <c r="G14" s="71" t="s">
        <v>63</v>
      </c>
      <c r="H14" s="71" t="s">
        <v>64</v>
      </c>
      <c r="I14" s="71" t="s">
        <v>62</v>
      </c>
    </row>
    <row r="15">
      <c r="A15" s="72" t="s">
        <v>26</v>
      </c>
      <c r="B15" s="73"/>
      <c r="C15" s="73"/>
      <c r="D15" s="73"/>
      <c r="E15" s="74"/>
      <c r="F15" s="75" t="n">
        <v>0</v>
      </c>
      <c r="G15" s="76" t="s">
        <v>10</v>
      </c>
      <c r="H15" s="76" t="s">
        <v>10</v>
      </c>
      <c r="I15" s="75">
        <f>F15</f>
      </c>
    </row>
    <row r="16">
      <c r="A16" s="72" t="s">
        <v>29</v>
      </c>
      <c r="B16" s="73"/>
      <c r="C16" s="73"/>
      <c r="D16" s="73"/>
      <c r="E16" s="74"/>
      <c r="F16" s="75" t="n">
        <v>0</v>
      </c>
      <c r="G16" s="76" t="s">
        <v>10</v>
      </c>
      <c r="H16" s="76" t="s">
        <v>10</v>
      </c>
      <c r="I16" s="75">
        <f>F16</f>
      </c>
    </row>
    <row r="17">
      <c r="A17" s="77" t="s">
        <v>32</v>
      </c>
      <c r="B17" s="78"/>
      <c r="C17" s="78"/>
      <c r="D17" s="78"/>
      <c r="E17" s="79"/>
      <c r="F17" s="80" t="n">
        <v>0</v>
      </c>
      <c r="G17" s="81" t="s">
        <v>10</v>
      </c>
      <c r="H17" s="81" t="s">
        <v>10</v>
      </c>
      <c r="I17" s="80">
        <f>F17</f>
      </c>
    </row>
    <row r="18">
      <c r="A18" s="82" t="s">
        <v>65</v>
      </c>
      <c r="B18" s="83"/>
      <c r="C18" s="83"/>
      <c r="D18" s="83"/>
      <c r="E18" s="84"/>
      <c r="F18" s="85" t="s">
        <v>10</v>
      </c>
      <c r="G18" s="86" t="s">
        <v>10</v>
      </c>
      <c r="H18" s="86" t="s">
        <v>10</v>
      </c>
      <c r="I18" s="87">
        <f>SUM(I15:I17)</f>
      </c>
    </row>
    <row r="20">
      <c r="A20" s="68" t="s">
        <v>23</v>
      </c>
      <c r="B20" s="69"/>
      <c r="C20" s="69"/>
      <c r="D20" s="69"/>
      <c r="E20" s="70"/>
      <c r="F20" s="71" t="s">
        <v>62</v>
      </c>
      <c r="G20" s="71" t="s">
        <v>63</v>
      </c>
      <c r="H20" s="71" t="s">
        <v>64</v>
      </c>
      <c r="I20" s="71" t="s">
        <v>62</v>
      </c>
    </row>
    <row r="21">
      <c r="A21" s="72" t="s">
        <v>27</v>
      </c>
      <c r="B21" s="73"/>
      <c r="C21" s="73"/>
      <c r="D21" s="73"/>
      <c r="E21" s="74"/>
      <c r="F21" s="75" t="n">
        <v>0</v>
      </c>
      <c r="G21" s="76" t="s">
        <v>10</v>
      </c>
      <c r="H21" s="76" t="s">
        <v>10</v>
      </c>
      <c r="I21" s="75">
        <f>F21</f>
      </c>
    </row>
    <row r="22">
      <c r="A22" s="72" t="s">
        <v>30</v>
      </c>
      <c r="B22" s="73"/>
      <c r="C22" s="73"/>
      <c r="D22" s="73"/>
      <c r="E22" s="74"/>
      <c r="F22" s="75" t="n">
        <v>0</v>
      </c>
      <c r="G22" s="76" t="s">
        <v>10</v>
      </c>
      <c r="H22" s="76" t="s">
        <v>10</v>
      </c>
      <c r="I22" s="75">
        <f>F22</f>
      </c>
    </row>
    <row r="23">
      <c r="A23" s="72" t="s">
        <v>33</v>
      </c>
      <c r="B23" s="73"/>
      <c r="C23" s="73"/>
      <c r="D23" s="73"/>
      <c r="E23" s="74"/>
      <c r="F23" s="75" t="n">
        <v>0</v>
      </c>
      <c r="G23" s="76" t="s">
        <v>10</v>
      </c>
      <c r="H23" s="76" t="s">
        <v>10</v>
      </c>
      <c r="I23" s="75">
        <f>F23</f>
      </c>
    </row>
    <row r="24">
      <c r="A24" s="72" t="s">
        <v>34</v>
      </c>
      <c r="B24" s="73"/>
      <c r="C24" s="73"/>
      <c r="D24" s="73"/>
      <c r="E24" s="74"/>
      <c r="F24" s="75" t="n">
        <v>0</v>
      </c>
      <c r="G24" s="76" t="s">
        <v>10</v>
      </c>
      <c r="H24" s="76" t="s">
        <v>10</v>
      </c>
      <c r="I24" s="75">
        <f>F24</f>
      </c>
    </row>
    <row r="25">
      <c r="A25" s="72" t="s">
        <v>36</v>
      </c>
      <c r="B25" s="73"/>
      <c r="C25" s="73"/>
      <c r="D25" s="73"/>
      <c r="E25" s="74"/>
      <c r="F25" s="75" t="n">
        <v>0</v>
      </c>
      <c r="G25" s="76" t="s">
        <v>10</v>
      </c>
      <c r="H25" s="76" t="s">
        <v>10</v>
      </c>
      <c r="I25" s="75">
        <f>F25</f>
      </c>
    </row>
    <row r="26">
      <c r="A26" s="77" t="s">
        <v>37</v>
      </c>
      <c r="B26" s="78"/>
      <c r="C26" s="78"/>
      <c r="D26" s="78"/>
      <c r="E26" s="79"/>
      <c r="F26" s="80" t="n">
        <v>0</v>
      </c>
      <c r="G26" s="81" t="s">
        <v>10</v>
      </c>
      <c r="H26" s="81" t="s">
        <v>10</v>
      </c>
      <c r="I26" s="80">
        <f>F26</f>
      </c>
    </row>
    <row r="27">
      <c r="A27" s="82" t="s">
        <v>66</v>
      </c>
      <c r="B27" s="83"/>
      <c r="C27" s="83"/>
      <c r="D27" s="83"/>
      <c r="E27" s="84"/>
      <c r="F27" s="85" t="s">
        <v>10</v>
      </c>
      <c r="G27" s="86" t="s">
        <v>10</v>
      </c>
      <c r="H27" s="86" t="s">
        <v>10</v>
      </c>
      <c r="I27" s="87">
        <f>SUM(I21:I26)</f>
      </c>
    </row>
    <row r="29">
      <c r="A29" s="88" t="s">
        <v>67</v>
      </c>
      <c r="B29" s="89"/>
      <c r="C29" s="89"/>
      <c r="D29" s="89"/>
      <c r="E29" s="90"/>
      <c r="F29" s="91">
        <f>I18+I27</f>
      </c>
      <c r="G29" s="92"/>
      <c r="H29" s="92"/>
      <c r="I29" s="93"/>
    </row>
    <row r="33">
      <c r="A33" s="67" t="s">
        <v>68</v>
      </c>
      <c r="B33" s="67"/>
      <c r="C33" s="67"/>
      <c r="D33" s="67"/>
      <c r="E33" s="67"/>
    </row>
    <row r="34">
      <c r="A34" s="68" t="s">
        <v>69</v>
      </c>
      <c r="B34" s="69"/>
      <c r="C34" s="69"/>
      <c r="D34" s="69"/>
      <c r="E34" s="70"/>
      <c r="F34" s="71" t="s">
        <v>62</v>
      </c>
      <c r="G34" s="71" t="s">
        <v>63</v>
      </c>
      <c r="H34" s="71" t="s">
        <v>64</v>
      </c>
      <c r="I34" s="71" t="s">
        <v>62</v>
      </c>
    </row>
    <row r="35">
      <c r="A35" s="77" t="s">
        <v>10</v>
      </c>
      <c r="B35" s="78"/>
      <c r="C35" s="78"/>
      <c r="D35" s="78"/>
      <c r="E35" s="79"/>
      <c r="F35" s="80" t="n">
        <v>0</v>
      </c>
      <c r="G35" s="81" t="s">
        <v>10</v>
      </c>
      <c r="H35" s="81" t="s">
        <v>10</v>
      </c>
      <c r="I35" s="80">
        <f>F35</f>
      </c>
    </row>
    <row r="36">
      <c r="A36" s="82" t="s">
        <v>70</v>
      </c>
      <c r="B36" s="83"/>
      <c r="C36" s="83"/>
      <c r="D36" s="83"/>
      <c r="E36" s="84"/>
      <c r="F36" s="85" t="s">
        <v>10</v>
      </c>
      <c r="G36" s="86" t="s">
        <v>10</v>
      </c>
      <c r="H36" s="86" t="s">
        <v>10</v>
      </c>
      <c r="I36" s="87">
        <f>SUM(I35:I35)</f>
      </c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8B3"/>
  <mergeCells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I2:I3"/>
    <mergeCell ref="I4:I5"/>
    <mergeCell ref="I6:I7"/>
    <mergeCell ref="I8:I9"/>
    <mergeCell ref="I10:I11"/>
    <mergeCell ref="A13:E13"/>
    <mergeCell ref="A14:E14"/>
    <mergeCell ref="A15:E15"/>
    <mergeCell ref="A16:E16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BX233"/>
  <sheetViews>
    <sheetView workbookViewId="0" showZeros="true" showFormulas="false" showGridLines="true" showRowColHeaders="true">
      <pane topLeftCell="A12" state="frozen" activePane="bottomLeft" ySplit="11"/>
      <selection pane="bottomLeft" sqref="A233:K233" activeCell="A233"/>
    </sheetView>
  </sheetViews>
  <sheetFormatPr defaultColWidth="12.140625" customHeight="true" defaultRowHeight="15"/>
  <cols>
    <col max="1" min="1" style="0" width="3.99609375" customWidth="true"/>
    <col max="2" min="2" style="0" width="17.85546875" customWidth="true"/>
    <col max="3" min="3" style="0" width="42.85546875" customWidth="true"/>
    <col max="4" min="4" style="0" width="35.7109375" customWidth="true"/>
    <col max="5" min="5" style="0" width="9.42578125" customWidth="true"/>
    <col max="6" min="6" style="0" width="12.85546875" customWidth="true"/>
    <col max="7" min="7" style="0" width="12" customWidth="true"/>
    <col max="10" min="8" style="0" width="15.7109375" customWidth="true"/>
    <col max="11" min="11" style="0" width="17.85546875" customWidth="true"/>
    <col max="75" min="25" style="0" width="12.140625" hidden="true"/>
    <col max="76" min="76" style="0" width="78.5703125" customWidth="true" hidden="true"/>
    <col max="78" min="77" style="0" width="12.140625" hidden="true"/>
  </cols>
  <sheetData>
    <row r="1" customHeight="true" ht="54.75">
      <c r="A1" s="2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  <c r="AS1" s="94">
        <f>SUM(AJ1:AJ2)</f>
      </c>
      <c r="AT1" s="94">
        <f>SUM(AK1:AK2)</f>
      </c>
      <c r="AU1" s="94">
        <f>SUM(AL1:AL2)</f>
      </c>
    </row>
    <row r="2">
      <c r="A2" s="3" t="s">
        <v>1</v>
      </c>
      <c r="B2" s="4"/>
      <c r="C2" s="5" t="s">
        <v>72</v>
      </c>
      <c r="D2" s="6"/>
      <c r="E2" s="4" t="s">
        <v>73</v>
      </c>
      <c r="F2" s="4"/>
      <c r="G2" s="95" t="s">
        <v>74</v>
      </c>
      <c r="H2" s="7" t="s">
        <v>2</v>
      </c>
      <c r="I2" s="7" t="s">
        <v>75</v>
      </c>
      <c r="J2" s="4"/>
      <c r="K2" s="8"/>
    </row>
    <row r="3">
      <c r="A3" s="9"/>
      <c r="B3" s="10"/>
      <c r="C3" s="11"/>
      <c r="D3" s="11"/>
      <c r="E3" s="10"/>
      <c r="F3" s="10"/>
      <c r="G3" s="96"/>
      <c r="H3" s="10"/>
      <c r="I3" s="10"/>
      <c r="J3" s="10"/>
      <c r="K3" s="12"/>
    </row>
    <row r="4">
      <c r="A4" s="13" t="s">
        <v>5</v>
      </c>
      <c r="B4" s="10"/>
      <c r="C4" s="14" t="s">
        <v>74</v>
      </c>
      <c r="D4" s="10"/>
      <c r="E4" s="10" t="s">
        <v>11</v>
      </c>
      <c r="F4" s="10"/>
      <c r="G4" s="96" t="s">
        <v>76</v>
      </c>
      <c r="H4" s="14" t="s">
        <v>6</v>
      </c>
      <c r="I4" s="14" t="s">
        <v>77</v>
      </c>
      <c r="J4" s="10"/>
      <c r="K4" s="12"/>
    </row>
    <row r="5">
      <c r="A5" s="9"/>
      <c r="B5" s="10"/>
      <c r="C5" s="10"/>
      <c r="D5" s="10"/>
      <c r="E5" s="10"/>
      <c r="F5" s="10"/>
      <c r="G5" s="96"/>
      <c r="H5" s="10"/>
      <c r="I5" s="10"/>
      <c r="J5" s="10"/>
      <c r="K5" s="12"/>
    </row>
    <row r="6">
      <c r="A6" s="13" t="s">
        <v>8</v>
      </c>
      <c r="B6" s="10"/>
      <c r="C6" s="14" t="s">
        <v>74</v>
      </c>
      <c r="D6" s="10"/>
      <c r="E6" s="10" t="s">
        <v>12</v>
      </c>
      <c r="F6" s="10"/>
      <c r="G6" s="96" t="s">
        <v>74</v>
      </c>
      <c r="H6" s="14" t="s">
        <v>9</v>
      </c>
      <c r="I6" s="96" t="s">
        <v>78</v>
      </c>
      <c r="J6" s="96"/>
      <c r="K6" s="97"/>
    </row>
    <row r="7">
      <c r="A7" s="9"/>
      <c r="B7" s="10"/>
      <c r="C7" s="10"/>
      <c r="D7" s="10"/>
      <c r="E7" s="10"/>
      <c r="F7" s="10"/>
      <c r="G7" s="96"/>
      <c r="H7" s="10"/>
      <c r="I7" s="96"/>
      <c r="J7" s="96"/>
      <c r="K7" s="97"/>
    </row>
    <row r="8">
      <c r="A8" s="13" t="s">
        <v>14</v>
      </c>
      <c r="B8" s="10"/>
      <c r="C8" s="14" t="s">
        <v>74</v>
      </c>
      <c r="D8" s="10"/>
      <c r="E8" s="10" t="s">
        <v>79</v>
      </c>
      <c r="F8" s="10"/>
      <c r="G8" s="96" t="s">
        <v>80</v>
      </c>
      <c r="H8" s="14" t="s">
        <v>15</v>
      </c>
      <c r="I8" s="96" t="s">
        <v>78</v>
      </c>
      <c r="J8" s="96"/>
      <c r="K8" s="97"/>
    </row>
    <row r="9">
      <c r="A9" s="98"/>
      <c r="B9" s="99"/>
      <c r="C9" s="99"/>
      <c r="D9" s="99"/>
      <c r="E9" s="99"/>
      <c r="F9" s="99"/>
      <c r="G9" s="100"/>
      <c r="H9" s="99"/>
      <c r="I9" s="100"/>
      <c r="J9" s="100"/>
      <c r="K9" s="101"/>
    </row>
    <row r="10">
      <c r="A10" s="102" t="s">
        <v>81</v>
      </c>
      <c r="B10" s="103" t="s">
        <v>82</v>
      </c>
      <c r="C10" s="104" t="s">
        <v>83</v>
      </c>
      <c r="D10" s="105"/>
      <c r="E10" s="103" t="s">
        <v>84</v>
      </c>
      <c r="F10" s="106" t="s">
        <v>85</v>
      </c>
      <c r="G10" s="107" t="s">
        <v>86</v>
      </c>
      <c r="H10" s="108" t="s">
        <v>87</v>
      </c>
      <c r="I10" s="109"/>
      <c r="J10" s="110"/>
      <c r="K10" s="111" t="s">
        <v>88</v>
      </c>
      <c r="BK10" s="112" t="s">
        <v>89</v>
      </c>
      <c r="BL10" s="113" t="s">
        <v>90</v>
      </c>
      <c r="BW10" s="113" t="s">
        <v>91</v>
      </c>
    </row>
    <row r="11">
      <c r="A11" s="114" t="s">
        <v>74</v>
      </c>
      <c r="B11" s="115" t="s">
        <v>74</v>
      </c>
      <c r="C11" s="116" t="s">
        <v>92</v>
      </c>
      <c r="D11" s="117"/>
      <c r="E11" s="115" t="s">
        <v>74</v>
      </c>
      <c r="F11" s="115" t="s">
        <v>74</v>
      </c>
      <c r="G11" s="118" t="s">
        <v>93</v>
      </c>
      <c r="H11" s="119" t="s">
        <v>94</v>
      </c>
      <c r="I11" s="120" t="s">
        <v>28</v>
      </c>
      <c r="J11" s="121" t="s">
        <v>95</v>
      </c>
      <c r="K11" s="122" t="s">
        <v>96</v>
      </c>
      <c r="Z11" s="112" t="s">
        <v>97</v>
      </c>
      <c r="AA11" s="112" t="s">
        <v>98</v>
      </c>
      <c r="AB11" s="112" t="s">
        <v>99</v>
      </c>
      <c r="AC11" s="112" t="s">
        <v>100</v>
      </c>
      <c r="AD11" s="112" t="s">
        <v>101</v>
      </c>
      <c r="AE11" s="112" t="s">
        <v>102</v>
      </c>
      <c r="AF11" s="112" t="s">
        <v>103</v>
      </c>
      <c r="AG11" s="112" t="s">
        <v>104</v>
      </c>
      <c r="AH11" s="112" t="s">
        <v>105</v>
      </c>
      <c r="BH11" s="112" t="s">
        <v>106</v>
      </c>
      <c r="BI11" s="112" t="s">
        <v>107</v>
      </c>
      <c r="BJ11" s="112" t="s">
        <v>108</v>
      </c>
    </row>
    <row r="12">
      <c r="A12" s="123" t="s">
        <v>10</v>
      </c>
      <c r="B12" s="124" t="s">
        <v>10</v>
      </c>
      <c r="C12" s="125" t="s">
        <v>109</v>
      </c>
      <c r="D12" s="124"/>
      <c r="E12" s="126" t="s">
        <v>74</v>
      </c>
      <c r="F12" s="126" t="s">
        <v>74</v>
      </c>
      <c r="G12" s="127" t="s">
        <v>74</v>
      </c>
      <c r="H12" s="128">
        <f>H13+H40+H45+H52+H55+H63+H70+H83+H94+H106+H116+H130+H134+H138+H142+H180+H191+H205+H217</f>
      </c>
      <c r="I12" s="128">
        <f>I13+I40+I45+I52+I55+I63+I70+I83+I94+I106+I116+I130+I134+I138+I142+I180+I191+I205+I217</f>
      </c>
      <c r="J12" s="128">
        <f>J13+J40+J45+J52+J55+J63+J70+J83+J94+J106+J116+J130+J134+J138+J142+J180+J191+J205+J217</f>
      </c>
      <c r="K12" s="129" t="s">
        <v>10</v>
      </c>
    </row>
    <row r="13">
      <c r="A13" s="130" t="s">
        <v>10</v>
      </c>
      <c r="B13" s="131" t="s">
        <v>110</v>
      </c>
      <c r="C13" s="132" t="s">
        <v>111</v>
      </c>
      <c r="D13" s="131"/>
      <c r="E13" s="133" t="s">
        <v>74</v>
      </c>
      <c r="F13" s="133" t="s">
        <v>74</v>
      </c>
      <c r="G13" s="134" t="s">
        <v>74</v>
      </c>
      <c r="H13" s="94">
        <f>SUM(H14:H38)</f>
      </c>
      <c r="I13" s="94">
        <f>SUM(I14:I38)</f>
      </c>
      <c r="J13" s="94">
        <f>SUM(J14:J38)</f>
      </c>
      <c r="K13" s="135" t="s">
        <v>10</v>
      </c>
      <c r="AI13" s="112" t="s">
        <v>10</v>
      </c>
      <c r="AS13" s="94">
        <f>SUM(AJ14:AJ38)</f>
      </c>
      <c r="AT13" s="94">
        <f>SUM(AK14:AK38)</f>
      </c>
      <c r="AU13" s="94">
        <f>SUM(AL14:AL38)</f>
      </c>
    </row>
    <row r="14">
      <c r="A14" s="9" t="s">
        <v>112</v>
      </c>
      <c r="B14" s="10" t="s">
        <v>113</v>
      </c>
      <c r="C14" s="14" t="s">
        <v>114</v>
      </c>
      <c r="D14" s="10"/>
      <c r="E14" s="10" t="s">
        <v>115</v>
      </c>
      <c r="F14" s="136" t="n">
        <v>176</v>
      </c>
      <c r="G14" s="137" t="n">
        <v>0</v>
      </c>
      <c r="H14" s="136">
        <f>F14*AO14</f>
      </c>
      <c r="I14" s="136">
        <f>F14*AP14</f>
      </c>
      <c r="J14" s="136">
        <f>F14*G14</f>
      </c>
      <c r="K14" s="138" t="s">
        <v>116</v>
      </c>
      <c r="Z14" s="136">
        <f>IF(AQ14="5",BJ14,0)</f>
      </c>
      <c r="AB14" s="136">
        <f>IF(AQ14="1",BH14,0)</f>
      </c>
      <c r="AC14" s="136">
        <f>IF(AQ14="1",BI14,0)</f>
      </c>
      <c r="AD14" s="136">
        <f>IF(AQ14="7",BH14,0)</f>
      </c>
      <c r="AE14" s="136">
        <f>IF(AQ14="7",BI14,0)</f>
      </c>
      <c r="AF14" s="136">
        <f>IF(AQ14="2",BH14,0)</f>
      </c>
      <c r="AG14" s="136">
        <f>IF(AQ14="2",BI14,0)</f>
      </c>
      <c r="AH14" s="136">
        <f>IF(AQ14="0",BJ14,0)</f>
      </c>
      <c r="AI14" s="112" t="s">
        <v>10</v>
      </c>
      <c r="AJ14" s="136">
        <f>IF(AN14=0,J14,0)</f>
      </c>
      <c r="AK14" s="136">
        <f>IF(AN14=12,J14,0)</f>
      </c>
      <c r="AL14" s="136">
        <f>IF(AN14=21,J14,0)</f>
      </c>
      <c r="AN14" s="136" t="n">
        <v>21</v>
      </c>
      <c r="AO14" s="136">
        <f>G14*0</f>
      </c>
      <c r="AP14" s="136">
        <f>G14*(1-0)</f>
      </c>
      <c r="AQ14" s="139" t="s">
        <v>112</v>
      </c>
      <c r="AV14" s="136">
        <f>AW14+AX14</f>
      </c>
      <c r="AW14" s="136">
        <f>F14*AO14</f>
      </c>
      <c r="AX14" s="136">
        <f>F14*AP14</f>
      </c>
      <c r="AY14" s="139" t="s">
        <v>117</v>
      </c>
      <c r="AZ14" s="139" t="s">
        <v>118</v>
      </c>
      <c r="BA14" s="112" t="s">
        <v>119</v>
      </c>
      <c r="BC14" s="136">
        <f>AW14+AX14</f>
      </c>
      <c r="BD14" s="136">
        <f>G14/(100-BE14)*100</f>
      </c>
      <c r="BE14" s="136" t="n">
        <v>0</v>
      </c>
      <c r="BF14" s="136">
        <f>14</f>
      </c>
      <c r="BH14" s="136">
        <f>F14*AO14</f>
      </c>
      <c r="BI14" s="136">
        <f>F14*AP14</f>
      </c>
      <c r="BJ14" s="136">
        <f>F14*G14</f>
      </c>
      <c r="BK14" s="136"/>
      <c r="BL14" s="136" t="n">
        <v>11</v>
      </c>
      <c r="BW14" s="136" t="n">
        <v>21</v>
      </c>
      <c r="BX14" s="14" t="s">
        <v>114</v>
      </c>
    </row>
    <row r="15">
      <c r="A15" s="9" t="s">
        <v>120</v>
      </c>
      <c r="B15" s="10" t="s">
        <v>121</v>
      </c>
      <c r="C15" s="14" t="s">
        <v>122</v>
      </c>
      <c r="D15" s="10"/>
      <c r="E15" s="10" t="s">
        <v>115</v>
      </c>
      <c r="F15" s="136" t="n">
        <v>335</v>
      </c>
      <c r="G15" s="137" t="n">
        <v>0</v>
      </c>
      <c r="H15" s="136">
        <f>F15*AO15</f>
      </c>
      <c r="I15" s="136">
        <f>F15*AP15</f>
      </c>
      <c r="J15" s="136">
        <f>F15*G15</f>
      </c>
      <c r="K15" s="138" t="s">
        <v>116</v>
      </c>
      <c r="Z15" s="136">
        <f>IF(AQ15="5",BJ15,0)</f>
      </c>
      <c r="AB15" s="136">
        <f>IF(AQ15="1",BH15,0)</f>
      </c>
      <c r="AC15" s="136">
        <f>IF(AQ15="1",BI15,0)</f>
      </c>
      <c r="AD15" s="136">
        <f>IF(AQ15="7",BH15,0)</f>
      </c>
      <c r="AE15" s="136">
        <f>IF(AQ15="7",BI15,0)</f>
      </c>
      <c r="AF15" s="136">
        <f>IF(AQ15="2",BH15,0)</f>
      </c>
      <c r="AG15" s="136">
        <f>IF(AQ15="2",BI15,0)</f>
      </c>
      <c r="AH15" s="136">
        <f>IF(AQ15="0",BJ15,0)</f>
      </c>
      <c r="AI15" s="112" t="s">
        <v>10</v>
      </c>
      <c r="AJ15" s="136">
        <f>IF(AN15=0,J15,0)</f>
      </c>
      <c r="AK15" s="136">
        <f>IF(AN15=12,J15,0)</f>
      </c>
      <c r="AL15" s="136">
        <f>IF(AN15=21,J15,0)</f>
      </c>
      <c r="AN15" s="136" t="n">
        <v>21</v>
      </c>
      <c r="AO15" s="136">
        <f>G15*0</f>
      </c>
      <c r="AP15" s="136">
        <f>G15*(1-0)</f>
      </c>
      <c r="AQ15" s="139" t="s">
        <v>112</v>
      </c>
      <c r="AV15" s="136">
        <f>AW15+AX15</f>
      </c>
      <c r="AW15" s="136">
        <f>F15*AO15</f>
      </c>
      <c r="AX15" s="136">
        <f>F15*AP15</f>
      </c>
      <c r="AY15" s="139" t="s">
        <v>117</v>
      </c>
      <c r="AZ15" s="139" t="s">
        <v>118</v>
      </c>
      <c r="BA15" s="112" t="s">
        <v>119</v>
      </c>
      <c r="BC15" s="136">
        <f>AW15+AX15</f>
      </c>
      <c r="BD15" s="136">
        <f>G15/(100-BE15)*100</f>
      </c>
      <c r="BE15" s="136" t="n">
        <v>0</v>
      </c>
      <c r="BF15" s="136">
        <f>15</f>
      </c>
      <c r="BH15" s="136">
        <f>F15*AO15</f>
      </c>
      <c r="BI15" s="136">
        <f>F15*AP15</f>
      </c>
      <c r="BJ15" s="136">
        <f>F15*G15</f>
      </c>
      <c r="BK15" s="136"/>
      <c r="BL15" s="136" t="n">
        <v>11</v>
      </c>
      <c r="BW15" s="136" t="n">
        <v>21</v>
      </c>
      <c r="BX15" s="14" t="s">
        <v>122</v>
      </c>
    </row>
    <row r="16">
      <c r="A16" s="9" t="s">
        <v>123</v>
      </c>
      <c r="B16" s="10" t="s">
        <v>124</v>
      </c>
      <c r="C16" s="14" t="s">
        <v>125</v>
      </c>
      <c r="D16" s="10"/>
      <c r="E16" s="10" t="s">
        <v>115</v>
      </c>
      <c r="F16" s="136" t="n">
        <v>212</v>
      </c>
      <c r="G16" s="137" t="n">
        <v>0</v>
      </c>
      <c r="H16" s="136">
        <f>F16*AO16</f>
      </c>
      <c r="I16" s="136">
        <f>F16*AP16</f>
      </c>
      <c r="J16" s="136">
        <f>F16*G16</f>
      </c>
      <c r="K16" s="138" t="s">
        <v>116</v>
      </c>
      <c r="Z16" s="136">
        <f>IF(AQ16="5",BJ16,0)</f>
      </c>
      <c r="AB16" s="136">
        <f>IF(AQ16="1",BH16,0)</f>
      </c>
      <c r="AC16" s="136">
        <f>IF(AQ16="1",BI16,0)</f>
      </c>
      <c r="AD16" s="136">
        <f>IF(AQ16="7",BH16,0)</f>
      </c>
      <c r="AE16" s="136">
        <f>IF(AQ16="7",BI16,0)</f>
      </c>
      <c r="AF16" s="136">
        <f>IF(AQ16="2",BH16,0)</f>
      </c>
      <c r="AG16" s="136">
        <f>IF(AQ16="2",BI16,0)</f>
      </c>
      <c r="AH16" s="136">
        <f>IF(AQ16="0",BJ16,0)</f>
      </c>
      <c r="AI16" s="112" t="s">
        <v>10</v>
      </c>
      <c r="AJ16" s="136">
        <f>IF(AN16=0,J16,0)</f>
      </c>
      <c r="AK16" s="136">
        <f>IF(AN16=12,J16,0)</f>
      </c>
      <c r="AL16" s="136">
        <f>IF(AN16=21,J16,0)</f>
      </c>
      <c r="AN16" s="136" t="n">
        <v>21</v>
      </c>
      <c r="AO16" s="136">
        <f>G16*0</f>
      </c>
      <c r="AP16" s="136">
        <f>G16*(1-0)</f>
      </c>
      <c r="AQ16" s="139" t="s">
        <v>112</v>
      </c>
      <c r="AV16" s="136">
        <f>AW16+AX16</f>
      </c>
      <c r="AW16" s="136">
        <f>F16*AO16</f>
      </c>
      <c r="AX16" s="136">
        <f>F16*AP16</f>
      </c>
      <c r="AY16" s="139" t="s">
        <v>117</v>
      </c>
      <c r="AZ16" s="139" t="s">
        <v>118</v>
      </c>
      <c r="BA16" s="112" t="s">
        <v>119</v>
      </c>
      <c r="BC16" s="136">
        <f>AW16+AX16</f>
      </c>
      <c r="BD16" s="136">
        <f>G16/(100-BE16)*100</f>
      </c>
      <c r="BE16" s="136" t="n">
        <v>0</v>
      </c>
      <c r="BF16" s="136">
        <f>16</f>
      </c>
      <c r="BH16" s="136">
        <f>F16*AO16</f>
      </c>
      <c r="BI16" s="136">
        <f>F16*AP16</f>
      </c>
      <c r="BJ16" s="136">
        <f>F16*G16</f>
      </c>
      <c r="BK16" s="136"/>
      <c r="BL16" s="136" t="n">
        <v>11</v>
      </c>
      <c r="BW16" s="136" t="n">
        <v>21</v>
      </c>
      <c r="BX16" s="14" t="s">
        <v>125</v>
      </c>
    </row>
    <row r="17">
      <c r="A17" s="9" t="s">
        <v>126</v>
      </c>
      <c r="B17" s="10" t="s">
        <v>127</v>
      </c>
      <c r="C17" s="14" t="s">
        <v>128</v>
      </c>
      <c r="D17" s="10"/>
      <c r="E17" s="10" t="s">
        <v>129</v>
      </c>
      <c r="F17" s="136" t="n">
        <v>145.6</v>
      </c>
      <c r="G17" s="137" t="n">
        <v>0</v>
      </c>
      <c r="H17" s="136">
        <f>F17*AO17</f>
      </c>
      <c r="I17" s="136">
        <f>F17*AP17</f>
      </c>
      <c r="J17" s="136">
        <f>F17*G17</f>
      </c>
      <c r="K17" s="138" t="s">
        <v>116</v>
      </c>
      <c r="Z17" s="136">
        <f>IF(AQ17="5",BJ17,0)</f>
      </c>
      <c r="AB17" s="136">
        <f>IF(AQ17="1",BH17,0)</f>
      </c>
      <c r="AC17" s="136">
        <f>IF(AQ17="1",BI17,0)</f>
      </c>
      <c r="AD17" s="136">
        <f>IF(AQ17="7",BH17,0)</f>
      </c>
      <c r="AE17" s="136">
        <f>IF(AQ17="7",BI17,0)</f>
      </c>
      <c r="AF17" s="136">
        <f>IF(AQ17="2",BH17,0)</f>
      </c>
      <c r="AG17" s="136">
        <f>IF(AQ17="2",BI17,0)</f>
      </c>
      <c r="AH17" s="136">
        <f>IF(AQ17="0",BJ17,0)</f>
      </c>
      <c r="AI17" s="112" t="s">
        <v>10</v>
      </c>
      <c r="AJ17" s="136">
        <f>IF(AN17=0,J17,0)</f>
      </c>
      <c r="AK17" s="136">
        <f>IF(AN17=12,J17,0)</f>
      </c>
      <c r="AL17" s="136">
        <f>IF(AN17=21,J17,0)</f>
      </c>
      <c r="AN17" s="136" t="n">
        <v>21</v>
      </c>
      <c r="AO17" s="136">
        <f>G17*0</f>
      </c>
      <c r="AP17" s="136">
        <f>G17*(1-0)</f>
      </c>
      <c r="AQ17" s="139" t="s">
        <v>130</v>
      </c>
      <c r="AV17" s="136">
        <f>AW17+AX17</f>
      </c>
      <c r="AW17" s="136">
        <f>F17*AO17</f>
      </c>
      <c r="AX17" s="136">
        <f>F17*AP17</f>
      </c>
      <c r="AY17" s="139" t="s">
        <v>117</v>
      </c>
      <c r="AZ17" s="139" t="s">
        <v>118</v>
      </c>
      <c r="BA17" s="112" t="s">
        <v>119</v>
      </c>
      <c r="BC17" s="136">
        <f>AW17+AX17</f>
      </c>
      <c r="BD17" s="136">
        <f>G17/(100-BE17)*100</f>
      </c>
      <c r="BE17" s="136" t="n">
        <v>0</v>
      </c>
      <c r="BF17" s="136">
        <f>17</f>
      </c>
      <c r="BH17" s="136">
        <f>F17*AO17</f>
      </c>
      <c r="BI17" s="136">
        <f>F17*AP17</f>
      </c>
      <c r="BJ17" s="136">
        <f>F17*G17</f>
      </c>
      <c r="BK17" s="136"/>
      <c r="BL17" s="136" t="n">
        <v>11</v>
      </c>
      <c r="BW17" s="136" t="n">
        <v>21</v>
      </c>
      <c r="BX17" s="14" t="s">
        <v>128</v>
      </c>
    </row>
    <row r="18">
      <c r="A18" s="140"/>
      <c r="B18" s="141" t="s">
        <v>131</v>
      </c>
      <c r="C18" s="142" t="s">
        <v>132</v>
      </c>
      <c r="D18" s="143"/>
      <c r="E18" s="143"/>
      <c r="F18" s="143"/>
      <c r="G18" s="144"/>
      <c r="H18" s="143"/>
      <c r="I18" s="143"/>
      <c r="J18" s="143"/>
      <c r="K18" s="145"/>
      <c r="BX18" s="142" t="s">
        <v>132</v>
      </c>
    </row>
    <row r="19">
      <c r="A19" s="9" t="s">
        <v>130</v>
      </c>
      <c r="B19" s="10" t="s">
        <v>133</v>
      </c>
      <c r="C19" s="14" t="s">
        <v>134</v>
      </c>
      <c r="D19" s="10"/>
      <c r="E19" s="10" t="s">
        <v>135</v>
      </c>
      <c r="F19" s="136" t="n">
        <v>325</v>
      </c>
      <c r="G19" s="137" t="n">
        <v>0</v>
      </c>
      <c r="H19" s="136">
        <f>F19*AO19</f>
      </c>
      <c r="I19" s="136">
        <f>F19*AP19</f>
      </c>
      <c r="J19" s="136">
        <f>F19*G19</f>
      </c>
      <c r="K19" s="138" t="s">
        <v>116</v>
      </c>
      <c r="Z19" s="136">
        <f>IF(AQ19="5",BJ19,0)</f>
      </c>
      <c r="AB19" s="136">
        <f>IF(AQ19="1",BH19,0)</f>
      </c>
      <c r="AC19" s="136">
        <f>IF(AQ19="1",BI19,0)</f>
      </c>
      <c r="AD19" s="136">
        <f>IF(AQ19="7",BH19,0)</f>
      </c>
      <c r="AE19" s="136">
        <f>IF(AQ19="7",BI19,0)</f>
      </c>
      <c r="AF19" s="136">
        <f>IF(AQ19="2",BH19,0)</f>
      </c>
      <c r="AG19" s="136">
        <f>IF(AQ19="2",BI19,0)</f>
      </c>
      <c r="AH19" s="136">
        <f>IF(AQ19="0",BJ19,0)</f>
      </c>
      <c r="AI19" s="112" t="s">
        <v>10</v>
      </c>
      <c r="AJ19" s="136">
        <f>IF(AN19=0,J19,0)</f>
      </c>
      <c r="AK19" s="136">
        <f>IF(AN19=12,J19,0)</f>
      </c>
      <c r="AL19" s="136">
        <f>IF(AN19=21,J19,0)</f>
      </c>
      <c r="AN19" s="136" t="n">
        <v>21</v>
      </c>
      <c r="AO19" s="136">
        <f>G19*0</f>
      </c>
      <c r="AP19" s="136">
        <f>G19*(1-0)</f>
      </c>
      <c r="AQ19" s="139" t="s">
        <v>112</v>
      </c>
      <c r="AV19" s="136">
        <f>AW19+AX19</f>
      </c>
      <c r="AW19" s="136">
        <f>F19*AO19</f>
      </c>
      <c r="AX19" s="136">
        <f>F19*AP19</f>
      </c>
      <c r="AY19" s="139" t="s">
        <v>117</v>
      </c>
      <c r="AZ19" s="139" t="s">
        <v>118</v>
      </c>
      <c r="BA19" s="112" t="s">
        <v>119</v>
      </c>
      <c r="BC19" s="136">
        <f>AW19+AX19</f>
      </c>
      <c r="BD19" s="136">
        <f>G19/(100-BE19)*100</f>
      </c>
      <c r="BE19" s="136" t="n">
        <v>0</v>
      </c>
      <c r="BF19" s="136">
        <f>19</f>
      </c>
      <c r="BH19" s="136">
        <f>F19*AO19</f>
      </c>
      <c r="BI19" s="136">
        <f>F19*AP19</f>
      </c>
      <c r="BJ19" s="136">
        <f>F19*G19</f>
      </c>
      <c r="BK19" s="136"/>
      <c r="BL19" s="136" t="n">
        <v>11</v>
      </c>
      <c r="BW19" s="136" t="n">
        <v>21</v>
      </c>
      <c r="BX19" s="14" t="s">
        <v>134</v>
      </c>
    </row>
    <row r="20">
      <c r="A20" s="140"/>
      <c r="B20" s="141" t="s">
        <v>131</v>
      </c>
      <c r="C20" s="142" t="s">
        <v>136</v>
      </c>
      <c r="D20" s="143"/>
      <c r="E20" s="143"/>
      <c r="F20" s="143"/>
      <c r="G20" s="144"/>
      <c r="H20" s="143"/>
      <c r="I20" s="143"/>
      <c r="J20" s="143"/>
      <c r="K20" s="145"/>
      <c r="BX20" s="142" t="s">
        <v>136</v>
      </c>
    </row>
    <row r="21">
      <c r="A21" s="9" t="s">
        <v>137</v>
      </c>
      <c r="B21" s="10" t="s">
        <v>138</v>
      </c>
      <c r="C21" s="14" t="s">
        <v>139</v>
      </c>
      <c r="D21" s="10"/>
      <c r="E21" s="10" t="s">
        <v>129</v>
      </c>
      <c r="F21" s="136" t="n">
        <v>132.6</v>
      </c>
      <c r="G21" s="137" t="n">
        <v>0</v>
      </c>
      <c r="H21" s="136">
        <f>F21*AO21</f>
      </c>
      <c r="I21" s="136">
        <f>F21*AP21</f>
      </c>
      <c r="J21" s="136">
        <f>F21*G21</f>
      </c>
      <c r="K21" s="138" t="s">
        <v>116</v>
      </c>
      <c r="Z21" s="136">
        <f>IF(AQ21="5",BJ21,0)</f>
      </c>
      <c r="AB21" s="136">
        <f>IF(AQ21="1",BH21,0)</f>
      </c>
      <c r="AC21" s="136">
        <f>IF(AQ21="1",BI21,0)</f>
      </c>
      <c r="AD21" s="136">
        <f>IF(AQ21="7",BH21,0)</f>
      </c>
      <c r="AE21" s="136">
        <f>IF(AQ21="7",BI21,0)</f>
      </c>
      <c r="AF21" s="136">
        <f>IF(AQ21="2",BH21,0)</f>
      </c>
      <c r="AG21" s="136">
        <f>IF(AQ21="2",BI21,0)</f>
      </c>
      <c r="AH21" s="136">
        <f>IF(AQ21="0",BJ21,0)</f>
      </c>
      <c r="AI21" s="112" t="s">
        <v>10</v>
      </c>
      <c r="AJ21" s="136">
        <f>IF(AN21=0,J21,0)</f>
      </c>
      <c r="AK21" s="136">
        <f>IF(AN21=12,J21,0)</f>
      </c>
      <c r="AL21" s="136">
        <f>IF(AN21=21,J21,0)</f>
      </c>
      <c r="AN21" s="136" t="n">
        <v>21</v>
      </c>
      <c r="AO21" s="136">
        <f>G21*0</f>
      </c>
      <c r="AP21" s="136">
        <f>G21*(1-0)</f>
      </c>
      <c r="AQ21" s="139" t="s">
        <v>130</v>
      </c>
      <c r="AV21" s="136">
        <f>AW21+AX21</f>
      </c>
      <c r="AW21" s="136">
        <f>F21*AO21</f>
      </c>
      <c r="AX21" s="136">
        <f>F21*AP21</f>
      </c>
      <c r="AY21" s="139" t="s">
        <v>117</v>
      </c>
      <c r="AZ21" s="139" t="s">
        <v>118</v>
      </c>
      <c r="BA21" s="112" t="s">
        <v>119</v>
      </c>
      <c r="BC21" s="136">
        <f>AW21+AX21</f>
      </c>
      <c r="BD21" s="136">
        <f>G21/(100-BE21)*100</f>
      </c>
      <c r="BE21" s="136" t="n">
        <v>0</v>
      </c>
      <c r="BF21" s="136">
        <f>21</f>
      </c>
      <c r="BH21" s="136">
        <f>F21*AO21</f>
      </c>
      <c r="BI21" s="136">
        <f>F21*AP21</f>
      </c>
      <c r="BJ21" s="136">
        <f>F21*G21</f>
      </c>
      <c r="BK21" s="136"/>
      <c r="BL21" s="136" t="n">
        <v>11</v>
      </c>
      <c r="BW21" s="136" t="n">
        <v>21</v>
      </c>
      <c r="BX21" s="14" t="s">
        <v>139</v>
      </c>
    </row>
    <row r="22">
      <c r="A22" s="140"/>
      <c r="B22" s="141" t="s">
        <v>131</v>
      </c>
      <c r="C22" s="142" t="s">
        <v>140</v>
      </c>
      <c r="D22" s="143"/>
      <c r="E22" s="143"/>
      <c r="F22" s="143"/>
      <c r="G22" s="144"/>
      <c r="H22" s="143"/>
      <c r="I22" s="143"/>
      <c r="J22" s="143"/>
      <c r="K22" s="145"/>
      <c r="BX22" s="142" t="s">
        <v>140</v>
      </c>
    </row>
    <row r="23">
      <c r="A23" s="9" t="s">
        <v>141</v>
      </c>
      <c r="B23" s="10" t="s">
        <v>142</v>
      </c>
      <c r="C23" s="14" t="s">
        <v>143</v>
      </c>
      <c r="D23" s="10"/>
      <c r="E23" s="10" t="s">
        <v>135</v>
      </c>
      <c r="F23" s="136" t="n">
        <v>15</v>
      </c>
      <c r="G23" s="137" t="n">
        <v>0</v>
      </c>
      <c r="H23" s="136">
        <f>F23*AO23</f>
      </c>
      <c r="I23" s="136">
        <f>F23*AP23</f>
      </c>
      <c r="J23" s="136">
        <f>F23*G23</f>
      </c>
      <c r="K23" s="138" t="s">
        <v>116</v>
      </c>
      <c r="Z23" s="136">
        <f>IF(AQ23="5",BJ23,0)</f>
      </c>
      <c r="AB23" s="136">
        <f>IF(AQ23="1",BH23,0)</f>
      </c>
      <c r="AC23" s="136">
        <f>IF(AQ23="1",BI23,0)</f>
      </c>
      <c r="AD23" s="136">
        <f>IF(AQ23="7",BH23,0)</f>
      </c>
      <c r="AE23" s="136">
        <f>IF(AQ23="7",BI23,0)</f>
      </c>
      <c r="AF23" s="136">
        <f>IF(AQ23="2",BH23,0)</f>
      </c>
      <c r="AG23" s="136">
        <f>IF(AQ23="2",BI23,0)</f>
      </c>
      <c r="AH23" s="136">
        <f>IF(AQ23="0",BJ23,0)</f>
      </c>
      <c r="AI23" s="112" t="s">
        <v>10</v>
      </c>
      <c r="AJ23" s="136">
        <f>IF(AN23=0,J23,0)</f>
      </c>
      <c r="AK23" s="136">
        <f>IF(AN23=12,J23,0)</f>
      </c>
      <c r="AL23" s="136">
        <f>IF(AN23=21,J23,0)</f>
      </c>
      <c r="AN23" s="136" t="n">
        <v>21</v>
      </c>
      <c r="AO23" s="136">
        <f>G23*0</f>
      </c>
      <c r="AP23" s="136">
        <f>G23*(1-0)</f>
      </c>
      <c r="AQ23" s="139" t="s">
        <v>112</v>
      </c>
      <c r="AV23" s="136">
        <f>AW23+AX23</f>
      </c>
      <c r="AW23" s="136">
        <f>F23*AO23</f>
      </c>
      <c r="AX23" s="136">
        <f>F23*AP23</f>
      </c>
      <c r="AY23" s="139" t="s">
        <v>117</v>
      </c>
      <c r="AZ23" s="139" t="s">
        <v>118</v>
      </c>
      <c r="BA23" s="112" t="s">
        <v>119</v>
      </c>
      <c r="BC23" s="136">
        <f>AW23+AX23</f>
      </c>
      <c r="BD23" s="136">
        <f>G23/(100-BE23)*100</f>
      </c>
      <c r="BE23" s="136" t="n">
        <v>0</v>
      </c>
      <c r="BF23" s="136">
        <f>23</f>
      </c>
      <c r="BH23" s="136">
        <f>F23*AO23</f>
      </c>
      <c r="BI23" s="136">
        <f>F23*AP23</f>
      </c>
      <c r="BJ23" s="136">
        <f>F23*G23</f>
      </c>
      <c r="BK23" s="136"/>
      <c r="BL23" s="136" t="n">
        <v>11</v>
      </c>
      <c r="BW23" s="136" t="n">
        <v>21</v>
      </c>
      <c r="BX23" s="14" t="s">
        <v>143</v>
      </c>
    </row>
    <row r="24">
      <c r="A24" s="9" t="s">
        <v>144</v>
      </c>
      <c r="B24" s="10" t="s">
        <v>145</v>
      </c>
      <c r="C24" s="14" t="s">
        <v>146</v>
      </c>
      <c r="D24" s="10"/>
      <c r="E24" s="10" t="s">
        <v>135</v>
      </c>
      <c r="F24" s="136" t="n">
        <v>45</v>
      </c>
      <c r="G24" s="137" t="n">
        <v>0</v>
      </c>
      <c r="H24" s="136">
        <f>F24*AO24</f>
      </c>
      <c r="I24" s="136">
        <f>F24*AP24</f>
      </c>
      <c r="J24" s="136">
        <f>F24*G24</f>
      </c>
      <c r="K24" s="138" t="s">
        <v>116</v>
      </c>
      <c r="Z24" s="136">
        <f>IF(AQ24="5",BJ24,0)</f>
      </c>
      <c r="AB24" s="136">
        <f>IF(AQ24="1",BH24,0)</f>
      </c>
      <c r="AC24" s="136">
        <f>IF(AQ24="1",BI24,0)</f>
      </c>
      <c r="AD24" s="136">
        <f>IF(AQ24="7",BH24,0)</f>
      </c>
      <c r="AE24" s="136">
        <f>IF(AQ24="7",BI24,0)</f>
      </c>
      <c r="AF24" s="136">
        <f>IF(AQ24="2",BH24,0)</f>
      </c>
      <c r="AG24" s="136">
        <f>IF(AQ24="2",BI24,0)</f>
      </c>
      <c r="AH24" s="136">
        <f>IF(AQ24="0",BJ24,0)</f>
      </c>
      <c r="AI24" s="112" t="s">
        <v>10</v>
      </c>
      <c r="AJ24" s="136">
        <f>IF(AN24=0,J24,0)</f>
      </c>
      <c r="AK24" s="136">
        <f>IF(AN24=12,J24,0)</f>
      </c>
      <c r="AL24" s="136">
        <f>IF(AN24=21,J24,0)</f>
      </c>
      <c r="AN24" s="136" t="n">
        <v>21</v>
      </c>
      <c r="AO24" s="136">
        <f>G24*0</f>
      </c>
      <c r="AP24" s="136">
        <f>G24*(1-0)</f>
      </c>
      <c r="AQ24" s="139" t="s">
        <v>112</v>
      </c>
      <c r="AV24" s="136">
        <f>AW24+AX24</f>
      </c>
      <c r="AW24" s="136">
        <f>F24*AO24</f>
      </c>
      <c r="AX24" s="136">
        <f>F24*AP24</f>
      </c>
      <c r="AY24" s="139" t="s">
        <v>117</v>
      </c>
      <c r="AZ24" s="139" t="s">
        <v>118</v>
      </c>
      <c r="BA24" s="112" t="s">
        <v>119</v>
      </c>
      <c r="BC24" s="136">
        <f>AW24+AX24</f>
      </c>
      <c r="BD24" s="136">
        <f>G24/(100-BE24)*100</f>
      </c>
      <c r="BE24" s="136" t="n">
        <v>0</v>
      </c>
      <c r="BF24" s="136">
        <f>24</f>
      </c>
      <c r="BH24" s="136">
        <f>F24*AO24</f>
      </c>
      <c r="BI24" s="136">
        <f>F24*AP24</f>
      </c>
      <c r="BJ24" s="136">
        <f>F24*G24</f>
      </c>
      <c r="BK24" s="136"/>
      <c r="BL24" s="136" t="n">
        <v>11</v>
      </c>
      <c r="BW24" s="136" t="n">
        <v>21</v>
      </c>
      <c r="BX24" s="14" t="s">
        <v>146</v>
      </c>
    </row>
    <row r="25" ht="24.75">
      <c r="A25" s="140"/>
      <c r="B25" s="141" t="s">
        <v>131</v>
      </c>
      <c r="C25" s="142" t="s">
        <v>147</v>
      </c>
      <c r="D25" s="143"/>
      <c r="E25" s="143"/>
      <c r="F25" s="143"/>
      <c r="G25" s="144"/>
      <c r="H25" s="143"/>
      <c r="I25" s="143"/>
      <c r="J25" s="143"/>
      <c r="K25" s="145"/>
      <c r="BX25" s="142" t="s">
        <v>147</v>
      </c>
    </row>
    <row r="26">
      <c r="A26" s="9" t="s">
        <v>148</v>
      </c>
      <c r="B26" s="10" t="s">
        <v>127</v>
      </c>
      <c r="C26" s="14" t="s">
        <v>128</v>
      </c>
      <c r="D26" s="10"/>
      <c r="E26" s="10" t="s">
        <v>129</v>
      </c>
      <c r="F26" s="136" t="n">
        <v>13.785</v>
      </c>
      <c r="G26" s="137" t="n">
        <v>0</v>
      </c>
      <c r="H26" s="136">
        <f>F26*AO26</f>
      </c>
      <c r="I26" s="136">
        <f>F26*AP26</f>
      </c>
      <c r="J26" s="136">
        <f>F26*G26</f>
      </c>
      <c r="K26" s="138" t="s">
        <v>116</v>
      </c>
      <c r="Z26" s="136">
        <f>IF(AQ26="5",BJ26,0)</f>
      </c>
      <c r="AB26" s="136">
        <f>IF(AQ26="1",BH26,0)</f>
      </c>
      <c r="AC26" s="136">
        <f>IF(AQ26="1",BI26,0)</f>
      </c>
      <c r="AD26" s="136">
        <f>IF(AQ26="7",BH26,0)</f>
      </c>
      <c r="AE26" s="136">
        <f>IF(AQ26="7",BI26,0)</f>
      </c>
      <c r="AF26" s="136">
        <f>IF(AQ26="2",BH26,0)</f>
      </c>
      <c r="AG26" s="136">
        <f>IF(AQ26="2",BI26,0)</f>
      </c>
      <c r="AH26" s="136">
        <f>IF(AQ26="0",BJ26,0)</f>
      </c>
      <c r="AI26" s="112" t="s">
        <v>10</v>
      </c>
      <c r="AJ26" s="136">
        <f>IF(AN26=0,J26,0)</f>
      </c>
      <c r="AK26" s="136">
        <f>IF(AN26=12,J26,0)</f>
      </c>
      <c r="AL26" s="136">
        <f>IF(AN26=21,J26,0)</f>
      </c>
      <c r="AN26" s="136" t="n">
        <v>21</v>
      </c>
      <c r="AO26" s="136">
        <f>G26*0</f>
      </c>
      <c r="AP26" s="136">
        <f>G26*(1-0)</f>
      </c>
      <c r="AQ26" s="139" t="s">
        <v>130</v>
      </c>
      <c r="AV26" s="136">
        <f>AW26+AX26</f>
      </c>
      <c r="AW26" s="136">
        <f>F26*AO26</f>
      </c>
      <c r="AX26" s="136">
        <f>F26*AP26</f>
      </c>
      <c r="AY26" s="139" t="s">
        <v>117</v>
      </c>
      <c r="AZ26" s="139" t="s">
        <v>118</v>
      </c>
      <c r="BA26" s="112" t="s">
        <v>119</v>
      </c>
      <c r="BC26" s="136">
        <f>AW26+AX26</f>
      </c>
      <c r="BD26" s="136">
        <f>G26/(100-BE26)*100</f>
      </c>
      <c r="BE26" s="136" t="n">
        <v>0</v>
      </c>
      <c r="BF26" s="136">
        <f>26</f>
      </c>
      <c r="BH26" s="136">
        <f>F26*AO26</f>
      </c>
      <c r="BI26" s="136">
        <f>F26*AP26</f>
      </c>
      <c r="BJ26" s="136">
        <f>F26*G26</f>
      </c>
      <c r="BK26" s="136"/>
      <c r="BL26" s="136" t="n">
        <v>11</v>
      </c>
      <c r="BW26" s="136" t="n">
        <v>21</v>
      </c>
      <c r="BX26" s="14" t="s">
        <v>128</v>
      </c>
    </row>
    <row r="27">
      <c r="A27" s="140"/>
      <c r="B27" s="141" t="s">
        <v>131</v>
      </c>
      <c r="C27" s="142" t="s">
        <v>132</v>
      </c>
      <c r="D27" s="143"/>
      <c r="E27" s="143"/>
      <c r="F27" s="143"/>
      <c r="G27" s="144"/>
      <c r="H27" s="143"/>
      <c r="I27" s="143"/>
      <c r="J27" s="143"/>
      <c r="K27" s="145"/>
      <c r="BX27" s="142" t="s">
        <v>132</v>
      </c>
    </row>
    <row r="28">
      <c r="A28" s="9" t="s">
        <v>149</v>
      </c>
      <c r="B28" s="10" t="s">
        <v>150</v>
      </c>
      <c r="C28" s="14" t="s">
        <v>151</v>
      </c>
      <c r="D28" s="10"/>
      <c r="E28" s="10" t="s">
        <v>135</v>
      </c>
      <c r="F28" s="136" t="n">
        <v>4080</v>
      </c>
      <c r="G28" s="137" t="n">
        <v>0</v>
      </c>
      <c r="H28" s="136">
        <f>F28*AO28</f>
      </c>
      <c r="I28" s="136">
        <f>F28*AP28</f>
      </c>
      <c r="J28" s="136">
        <f>F28*G28</f>
      </c>
      <c r="K28" s="138" t="s">
        <v>116</v>
      </c>
      <c r="Z28" s="136">
        <f>IF(AQ28="5",BJ28,0)</f>
      </c>
      <c r="AB28" s="136">
        <f>IF(AQ28="1",BH28,0)</f>
      </c>
      <c r="AC28" s="136">
        <f>IF(AQ28="1",BI28,0)</f>
      </c>
      <c r="AD28" s="136">
        <f>IF(AQ28="7",BH28,0)</f>
      </c>
      <c r="AE28" s="136">
        <f>IF(AQ28="7",BI28,0)</f>
      </c>
      <c r="AF28" s="136">
        <f>IF(AQ28="2",BH28,0)</f>
      </c>
      <c r="AG28" s="136">
        <f>IF(AQ28="2",BI28,0)</f>
      </c>
      <c r="AH28" s="136">
        <f>IF(AQ28="0",BJ28,0)</f>
      </c>
      <c r="AI28" s="112" t="s">
        <v>10</v>
      </c>
      <c r="AJ28" s="136">
        <f>IF(AN28=0,J28,0)</f>
      </c>
      <c r="AK28" s="136">
        <f>IF(AN28=12,J28,0)</f>
      </c>
      <c r="AL28" s="136">
        <f>IF(AN28=21,J28,0)</f>
      </c>
      <c r="AN28" s="136" t="n">
        <v>21</v>
      </c>
      <c r="AO28" s="136">
        <f>G28*0</f>
      </c>
      <c r="AP28" s="136">
        <f>G28*(1-0)</f>
      </c>
      <c r="AQ28" s="139" t="s">
        <v>112</v>
      </c>
      <c r="AV28" s="136">
        <f>AW28+AX28</f>
      </c>
      <c r="AW28" s="136">
        <f>F28*AO28</f>
      </c>
      <c r="AX28" s="136">
        <f>F28*AP28</f>
      </c>
      <c r="AY28" s="139" t="s">
        <v>117</v>
      </c>
      <c r="AZ28" s="139" t="s">
        <v>118</v>
      </c>
      <c r="BA28" s="112" t="s">
        <v>119</v>
      </c>
      <c r="BC28" s="136">
        <f>AW28+AX28</f>
      </c>
      <c r="BD28" s="136">
        <f>G28/(100-BE28)*100</f>
      </c>
      <c r="BE28" s="136" t="n">
        <v>0</v>
      </c>
      <c r="BF28" s="136">
        <f>28</f>
      </c>
      <c r="BH28" s="136">
        <f>F28*AO28</f>
      </c>
      <c r="BI28" s="136">
        <f>F28*AP28</f>
      </c>
      <c r="BJ28" s="136">
        <f>F28*G28</f>
      </c>
      <c r="BK28" s="136"/>
      <c r="BL28" s="136" t="n">
        <v>11</v>
      </c>
      <c r="BW28" s="136" t="n">
        <v>21</v>
      </c>
      <c r="BX28" s="14" t="s">
        <v>151</v>
      </c>
    </row>
    <row r="29" ht="24.75">
      <c r="A29" s="140"/>
      <c r="B29" s="141" t="s">
        <v>131</v>
      </c>
      <c r="C29" s="142" t="s">
        <v>152</v>
      </c>
      <c r="D29" s="143"/>
      <c r="E29" s="143"/>
      <c r="F29" s="143"/>
      <c r="G29" s="144"/>
      <c r="H29" s="143"/>
      <c r="I29" s="143"/>
      <c r="J29" s="143"/>
      <c r="K29" s="145"/>
      <c r="BX29" s="142" t="s">
        <v>152</v>
      </c>
    </row>
    <row r="30">
      <c r="A30" s="9" t="s">
        <v>110</v>
      </c>
      <c r="B30" s="10" t="s">
        <v>153</v>
      </c>
      <c r="C30" s="14" t="s">
        <v>154</v>
      </c>
      <c r="D30" s="10"/>
      <c r="E30" s="10" t="s">
        <v>129</v>
      </c>
      <c r="F30" s="136" t="n">
        <v>1346.4</v>
      </c>
      <c r="G30" s="137" t="n">
        <v>0</v>
      </c>
      <c r="H30" s="136">
        <f>F30*AO30</f>
      </c>
      <c r="I30" s="136">
        <f>F30*AP30</f>
      </c>
      <c r="J30" s="136">
        <f>F30*G30</f>
      </c>
      <c r="K30" s="138" t="s">
        <v>116</v>
      </c>
      <c r="Z30" s="136">
        <f>IF(AQ30="5",BJ30,0)</f>
      </c>
      <c r="AB30" s="136">
        <f>IF(AQ30="1",BH30,0)</f>
      </c>
      <c r="AC30" s="136">
        <f>IF(AQ30="1",BI30,0)</f>
      </c>
      <c r="AD30" s="136">
        <f>IF(AQ30="7",BH30,0)</f>
      </c>
      <c r="AE30" s="136">
        <f>IF(AQ30="7",BI30,0)</f>
      </c>
      <c r="AF30" s="136">
        <f>IF(AQ30="2",BH30,0)</f>
      </c>
      <c r="AG30" s="136">
        <f>IF(AQ30="2",BI30,0)</f>
      </c>
      <c r="AH30" s="136">
        <f>IF(AQ30="0",BJ30,0)</f>
      </c>
      <c r="AI30" s="112" t="s">
        <v>10</v>
      </c>
      <c r="AJ30" s="136">
        <f>IF(AN30=0,J30,0)</f>
      </c>
      <c r="AK30" s="136">
        <f>IF(AN30=12,J30,0)</f>
      </c>
      <c r="AL30" s="136">
        <f>IF(AN30=21,J30,0)</f>
      </c>
      <c r="AN30" s="136" t="n">
        <v>21</v>
      </c>
      <c r="AO30" s="136">
        <f>G30*0</f>
      </c>
      <c r="AP30" s="136">
        <f>G30*(1-0)</f>
      </c>
      <c r="AQ30" s="139" t="s">
        <v>130</v>
      </c>
      <c r="AV30" s="136">
        <f>AW30+AX30</f>
      </c>
      <c r="AW30" s="136">
        <f>F30*AO30</f>
      </c>
      <c r="AX30" s="136">
        <f>F30*AP30</f>
      </c>
      <c r="AY30" s="139" t="s">
        <v>117</v>
      </c>
      <c r="AZ30" s="139" t="s">
        <v>118</v>
      </c>
      <c r="BA30" s="112" t="s">
        <v>119</v>
      </c>
      <c r="BC30" s="136">
        <f>AW30+AX30</f>
      </c>
      <c r="BD30" s="136">
        <f>G30/(100-BE30)*100</f>
      </c>
      <c r="BE30" s="136" t="n">
        <v>0</v>
      </c>
      <c r="BF30" s="136">
        <f>30</f>
      </c>
      <c r="BH30" s="136">
        <f>F30*AO30</f>
      </c>
      <c r="BI30" s="136">
        <f>F30*AP30</f>
      </c>
      <c r="BJ30" s="136">
        <f>F30*G30</f>
      </c>
      <c r="BK30" s="136"/>
      <c r="BL30" s="136" t="n">
        <v>11</v>
      </c>
      <c r="BW30" s="136" t="n">
        <v>21</v>
      </c>
      <c r="BX30" s="14" t="s">
        <v>154</v>
      </c>
    </row>
    <row r="31">
      <c r="A31" s="140"/>
      <c r="B31" s="141" t="s">
        <v>131</v>
      </c>
      <c r="C31" s="142" t="s">
        <v>155</v>
      </c>
      <c r="D31" s="143"/>
      <c r="E31" s="143"/>
      <c r="F31" s="143"/>
      <c r="G31" s="144"/>
      <c r="H31" s="143"/>
      <c r="I31" s="143"/>
      <c r="J31" s="143"/>
      <c r="K31" s="145"/>
      <c r="BX31" s="142" t="s">
        <v>155</v>
      </c>
    </row>
    <row r="32">
      <c r="A32" s="9" t="s">
        <v>156</v>
      </c>
      <c r="B32" s="10" t="s">
        <v>157</v>
      </c>
      <c r="C32" s="14" t="s">
        <v>158</v>
      </c>
      <c r="D32" s="10"/>
      <c r="E32" s="10" t="s">
        <v>135</v>
      </c>
      <c r="F32" s="136" t="n">
        <v>4080</v>
      </c>
      <c r="G32" s="137" t="n">
        <v>0</v>
      </c>
      <c r="H32" s="136">
        <f>F32*AO32</f>
      </c>
      <c r="I32" s="136">
        <f>F32*AP32</f>
      </c>
      <c r="J32" s="136">
        <f>F32*G32</f>
      </c>
      <c r="K32" s="138" t="s">
        <v>116</v>
      </c>
      <c r="Z32" s="136">
        <f>IF(AQ32="5",BJ32,0)</f>
      </c>
      <c r="AB32" s="136">
        <f>IF(AQ32="1",BH32,0)</f>
      </c>
      <c r="AC32" s="136">
        <f>IF(AQ32="1",BI32,0)</f>
      </c>
      <c r="AD32" s="136">
        <f>IF(AQ32="7",BH32,0)</f>
      </c>
      <c r="AE32" s="136">
        <f>IF(AQ32="7",BI32,0)</f>
      </c>
      <c r="AF32" s="136">
        <f>IF(AQ32="2",BH32,0)</f>
      </c>
      <c r="AG32" s="136">
        <f>IF(AQ32="2",BI32,0)</f>
      </c>
      <c r="AH32" s="136">
        <f>IF(AQ32="0",BJ32,0)</f>
      </c>
      <c r="AI32" s="112" t="s">
        <v>10</v>
      </c>
      <c r="AJ32" s="136">
        <f>IF(AN32=0,J32,0)</f>
      </c>
      <c r="AK32" s="136">
        <f>IF(AN32=12,J32,0)</f>
      </c>
      <c r="AL32" s="136">
        <f>IF(AN32=21,J32,0)</f>
      </c>
      <c r="AN32" s="136" t="n">
        <v>21</v>
      </c>
      <c r="AO32" s="136">
        <f>G32*0</f>
      </c>
      <c r="AP32" s="136">
        <f>G32*(1-0)</f>
      </c>
      <c r="AQ32" s="139" t="s">
        <v>112</v>
      </c>
      <c r="AV32" s="136">
        <f>AW32+AX32</f>
      </c>
      <c r="AW32" s="136">
        <f>F32*AO32</f>
      </c>
      <c r="AX32" s="136">
        <f>F32*AP32</f>
      </c>
      <c r="AY32" s="139" t="s">
        <v>117</v>
      </c>
      <c r="AZ32" s="139" t="s">
        <v>118</v>
      </c>
      <c r="BA32" s="112" t="s">
        <v>119</v>
      </c>
      <c r="BC32" s="136">
        <f>AW32+AX32</f>
      </c>
      <c r="BD32" s="136">
        <f>G32/(100-BE32)*100</f>
      </c>
      <c r="BE32" s="136" t="n">
        <v>0</v>
      </c>
      <c r="BF32" s="136">
        <f>32</f>
      </c>
      <c r="BH32" s="136">
        <f>F32*AO32</f>
      </c>
      <c r="BI32" s="136">
        <f>F32*AP32</f>
      </c>
      <c r="BJ32" s="136">
        <f>F32*G32</f>
      </c>
      <c r="BK32" s="136"/>
      <c r="BL32" s="136" t="n">
        <v>11</v>
      </c>
      <c r="BW32" s="136" t="n">
        <v>21</v>
      </c>
      <c r="BX32" s="14" t="s">
        <v>158</v>
      </c>
    </row>
    <row r="33">
      <c r="A33" s="9" t="s">
        <v>159</v>
      </c>
      <c r="B33" s="10" t="s">
        <v>138</v>
      </c>
      <c r="C33" s="14" t="s">
        <v>139</v>
      </c>
      <c r="D33" s="10"/>
      <c r="E33" s="10" t="s">
        <v>129</v>
      </c>
      <c r="F33" s="136" t="n">
        <v>1958.4</v>
      </c>
      <c r="G33" s="137" t="n">
        <v>0</v>
      </c>
      <c r="H33" s="136">
        <f>F33*AO33</f>
      </c>
      <c r="I33" s="136">
        <f>F33*AP33</f>
      </c>
      <c r="J33" s="136">
        <f>F33*G33</f>
      </c>
      <c r="K33" s="138" t="s">
        <v>116</v>
      </c>
      <c r="Z33" s="136">
        <f>IF(AQ33="5",BJ33,0)</f>
      </c>
      <c r="AB33" s="136">
        <f>IF(AQ33="1",BH33,0)</f>
      </c>
      <c r="AC33" s="136">
        <f>IF(AQ33="1",BI33,0)</f>
      </c>
      <c r="AD33" s="136">
        <f>IF(AQ33="7",BH33,0)</f>
      </c>
      <c r="AE33" s="136">
        <f>IF(AQ33="7",BI33,0)</f>
      </c>
      <c r="AF33" s="136">
        <f>IF(AQ33="2",BH33,0)</f>
      </c>
      <c r="AG33" s="136">
        <f>IF(AQ33="2",BI33,0)</f>
      </c>
      <c r="AH33" s="136">
        <f>IF(AQ33="0",BJ33,0)</f>
      </c>
      <c r="AI33" s="112" t="s">
        <v>10</v>
      </c>
      <c r="AJ33" s="136">
        <f>IF(AN33=0,J33,0)</f>
      </c>
      <c r="AK33" s="136">
        <f>IF(AN33=12,J33,0)</f>
      </c>
      <c r="AL33" s="136">
        <f>IF(AN33=21,J33,0)</f>
      </c>
      <c r="AN33" s="136" t="n">
        <v>21</v>
      </c>
      <c r="AO33" s="136">
        <f>G33*0</f>
      </c>
      <c r="AP33" s="136">
        <f>G33*(1-0)</f>
      </c>
      <c r="AQ33" s="139" t="s">
        <v>130</v>
      </c>
      <c r="AV33" s="136">
        <f>AW33+AX33</f>
      </c>
      <c r="AW33" s="136">
        <f>F33*AO33</f>
      </c>
      <c r="AX33" s="136">
        <f>F33*AP33</f>
      </c>
      <c r="AY33" s="139" t="s">
        <v>117</v>
      </c>
      <c r="AZ33" s="139" t="s">
        <v>118</v>
      </c>
      <c r="BA33" s="112" t="s">
        <v>119</v>
      </c>
      <c r="BC33" s="136">
        <f>AW33+AX33</f>
      </c>
      <c r="BD33" s="136">
        <f>G33/(100-BE33)*100</f>
      </c>
      <c r="BE33" s="136" t="n">
        <v>0</v>
      </c>
      <c r="BF33" s="136">
        <f>33</f>
      </c>
      <c r="BH33" s="136">
        <f>F33*AO33</f>
      </c>
      <c r="BI33" s="136">
        <f>F33*AP33</f>
      </c>
      <c r="BJ33" s="136">
        <f>F33*G33</f>
      </c>
      <c r="BK33" s="136"/>
      <c r="BL33" s="136" t="n">
        <v>11</v>
      </c>
      <c r="BW33" s="136" t="n">
        <v>21</v>
      </c>
      <c r="BX33" s="14" t="s">
        <v>139</v>
      </c>
    </row>
    <row r="34">
      <c r="A34" s="140"/>
      <c r="B34" s="141" t="s">
        <v>131</v>
      </c>
      <c r="C34" s="142" t="s">
        <v>140</v>
      </c>
      <c r="D34" s="143"/>
      <c r="E34" s="143"/>
      <c r="F34" s="143"/>
      <c r="G34" s="144"/>
      <c r="H34" s="143"/>
      <c r="I34" s="143"/>
      <c r="J34" s="143"/>
      <c r="K34" s="145"/>
      <c r="BX34" s="142" t="s">
        <v>140</v>
      </c>
    </row>
    <row r="35">
      <c r="A35" s="9" t="s">
        <v>160</v>
      </c>
      <c r="B35" s="10" t="s">
        <v>161</v>
      </c>
      <c r="C35" s="14" t="s">
        <v>162</v>
      </c>
      <c r="D35" s="10"/>
      <c r="E35" s="10" t="s">
        <v>135</v>
      </c>
      <c r="F35" s="136" t="n">
        <v>4080</v>
      </c>
      <c r="G35" s="137" t="n">
        <v>0</v>
      </c>
      <c r="H35" s="136">
        <f>F35*AO35</f>
      </c>
      <c r="I35" s="136">
        <f>F35*AP35</f>
      </c>
      <c r="J35" s="136">
        <f>F35*G35</f>
      </c>
      <c r="K35" s="138" t="s">
        <v>116</v>
      </c>
      <c r="Z35" s="136">
        <f>IF(AQ35="5",BJ35,0)</f>
      </c>
      <c r="AB35" s="136">
        <f>IF(AQ35="1",BH35,0)</f>
      </c>
      <c r="AC35" s="136">
        <f>IF(AQ35="1",BI35,0)</f>
      </c>
      <c r="AD35" s="136">
        <f>IF(AQ35="7",BH35,0)</f>
      </c>
      <c r="AE35" s="136">
        <f>IF(AQ35="7",BI35,0)</f>
      </c>
      <c r="AF35" s="136">
        <f>IF(AQ35="2",BH35,0)</f>
      </c>
      <c r="AG35" s="136">
        <f>IF(AQ35="2",BI35,0)</f>
      </c>
      <c r="AH35" s="136">
        <f>IF(AQ35="0",BJ35,0)</f>
      </c>
      <c r="AI35" s="112" t="s">
        <v>10</v>
      </c>
      <c r="AJ35" s="136">
        <f>IF(AN35=0,J35,0)</f>
      </c>
      <c r="AK35" s="136">
        <f>IF(AN35=12,J35,0)</f>
      </c>
      <c r="AL35" s="136">
        <f>IF(AN35=21,J35,0)</f>
      </c>
      <c r="AN35" s="136" t="n">
        <v>21</v>
      </c>
      <c r="AO35" s="136">
        <f>G35*0</f>
      </c>
      <c r="AP35" s="136">
        <f>G35*(1-0)</f>
      </c>
      <c r="AQ35" s="139" t="s">
        <v>112</v>
      </c>
      <c r="AV35" s="136">
        <f>AW35+AX35</f>
      </c>
      <c r="AW35" s="136">
        <f>F35*AO35</f>
      </c>
      <c r="AX35" s="136">
        <f>F35*AP35</f>
      </c>
      <c r="AY35" s="139" t="s">
        <v>117</v>
      </c>
      <c r="AZ35" s="139" t="s">
        <v>118</v>
      </c>
      <c r="BA35" s="112" t="s">
        <v>119</v>
      </c>
      <c r="BC35" s="136">
        <f>AW35+AX35</f>
      </c>
      <c r="BD35" s="136">
        <f>G35/(100-BE35)*100</f>
      </c>
      <c r="BE35" s="136" t="n">
        <v>0</v>
      </c>
      <c r="BF35" s="136">
        <f>35</f>
      </c>
      <c r="BH35" s="136">
        <f>F35*AO35</f>
      </c>
      <c r="BI35" s="136">
        <f>F35*AP35</f>
      </c>
      <c r="BJ35" s="136">
        <f>F35*G35</f>
      </c>
      <c r="BK35" s="136"/>
      <c r="BL35" s="136" t="n">
        <v>11</v>
      </c>
      <c r="BW35" s="136" t="n">
        <v>21</v>
      </c>
      <c r="BX35" s="14" t="s">
        <v>162</v>
      </c>
    </row>
    <row r="36" ht="24.75">
      <c r="A36" s="140"/>
      <c r="B36" s="141" t="s">
        <v>131</v>
      </c>
      <c r="C36" s="142" t="s">
        <v>163</v>
      </c>
      <c r="D36" s="143"/>
      <c r="E36" s="143"/>
      <c r="F36" s="143"/>
      <c r="G36" s="144"/>
      <c r="H36" s="143"/>
      <c r="I36" s="143"/>
      <c r="J36" s="143"/>
      <c r="K36" s="145"/>
      <c r="BX36" s="142" t="s">
        <v>163</v>
      </c>
    </row>
    <row r="37">
      <c r="A37" s="9" t="s">
        <v>164</v>
      </c>
      <c r="B37" s="10" t="s">
        <v>165</v>
      </c>
      <c r="C37" s="14" t="s">
        <v>166</v>
      </c>
      <c r="D37" s="10"/>
      <c r="E37" s="10" t="s">
        <v>129</v>
      </c>
      <c r="F37" s="136" t="n">
        <v>1795.2</v>
      </c>
      <c r="G37" s="137" t="n">
        <v>0</v>
      </c>
      <c r="H37" s="136">
        <f>F37*AO37</f>
      </c>
      <c r="I37" s="136">
        <f>F37*AP37</f>
      </c>
      <c r="J37" s="136">
        <f>F37*G37</f>
      </c>
      <c r="K37" s="138" t="s">
        <v>116</v>
      </c>
      <c r="Z37" s="136">
        <f>IF(AQ37="5",BJ37,0)</f>
      </c>
      <c r="AB37" s="136">
        <f>IF(AQ37="1",BH37,0)</f>
      </c>
      <c r="AC37" s="136">
        <f>IF(AQ37="1",BI37,0)</f>
      </c>
      <c r="AD37" s="136">
        <f>IF(AQ37="7",BH37,0)</f>
      </c>
      <c r="AE37" s="136">
        <f>IF(AQ37="7",BI37,0)</f>
      </c>
      <c r="AF37" s="136">
        <f>IF(AQ37="2",BH37,0)</f>
      </c>
      <c r="AG37" s="136">
        <f>IF(AQ37="2",BI37,0)</f>
      </c>
      <c r="AH37" s="136">
        <f>IF(AQ37="0",BJ37,0)</f>
      </c>
      <c r="AI37" s="112" t="s">
        <v>10</v>
      </c>
      <c r="AJ37" s="136">
        <f>IF(AN37=0,J37,0)</f>
      </c>
      <c r="AK37" s="136">
        <f>IF(AN37=12,J37,0)</f>
      </c>
      <c r="AL37" s="136">
        <f>IF(AN37=21,J37,0)</f>
      </c>
      <c r="AN37" s="136" t="n">
        <v>21</v>
      </c>
      <c r="AO37" s="136">
        <f>G37*0</f>
      </c>
      <c r="AP37" s="136">
        <f>G37*(1-0)</f>
      </c>
      <c r="AQ37" s="139" t="s">
        <v>112</v>
      </c>
      <c r="AV37" s="136">
        <f>AW37+AX37</f>
      </c>
      <c r="AW37" s="136">
        <f>F37*AO37</f>
      </c>
      <c r="AX37" s="136">
        <f>F37*AP37</f>
      </c>
      <c r="AY37" s="139" t="s">
        <v>117</v>
      </c>
      <c r="AZ37" s="139" t="s">
        <v>118</v>
      </c>
      <c r="BA37" s="112" t="s">
        <v>119</v>
      </c>
      <c r="BC37" s="136">
        <f>AW37+AX37</f>
      </c>
      <c r="BD37" s="136">
        <f>G37/(100-BE37)*100</f>
      </c>
      <c r="BE37" s="136" t="n">
        <v>0</v>
      </c>
      <c r="BF37" s="136">
        <f>37</f>
      </c>
      <c r="BH37" s="136">
        <f>F37*AO37</f>
      </c>
      <c r="BI37" s="136">
        <f>F37*AP37</f>
      </c>
      <c r="BJ37" s="136">
        <f>F37*G37</f>
      </c>
      <c r="BK37" s="136"/>
      <c r="BL37" s="136" t="n">
        <v>11</v>
      </c>
      <c r="BW37" s="136" t="n">
        <v>21</v>
      </c>
      <c r="BX37" s="14" t="s">
        <v>166</v>
      </c>
    </row>
    <row r="38">
      <c r="A38" s="9" t="s">
        <v>167</v>
      </c>
      <c r="B38" s="10" t="s">
        <v>168</v>
      </c>
      <c r="C38" s="14" t="s">
        <v>169</v>
      </c>
      <c r="D38" s="10"/>
      <c r="E38" s="10" t="s">
        <v>129</v>
      </c>
      <c r="F38" s="136" t="n">
        <v>5391.985</v>
      </c>
      <c r="G38" s="137" t="n">
        <v>0</v>
      </c>
      <c r="H38" s="136">
        <f>F38*AO38</f>
      </c>
      <c r="I38" s="136">
        <f>F38*AP38</f>
      </c>
      <c r="J38" s="136">
        <f>F38*G38</f>
      </c>
      <c r="K38" s="138" t="s">
        <v>116</v>
      </c>
      <c r="Z38" s="136">
        <f>IF(AQ38="5",BJ38,0)</f>
      </c>
      <c r="AB38" s="136">
        <f>IF(AQ38="1",BH38,0)</f>
      </c>
      <c r="AC38" s="136">
        <f>IF(AQ38="1",BI38,0)</f>
      </c>
      <c r="AD38" s="136">
        <f>IF(AQ38="7",BH38,0)</f>
      </c>
      <c r="AE38" s="136">
        <f>IF(AQ38="7",BI38,0)</f>
      </c>
      <c r="AF38" s="136">
        <f>IF(AQ38="2",BH38,0)</f>
      </c>
      <c r="AG38" s="136">
        <f>IF(AQ38="2",BI38,0)</f>
      </c>
      <c r="AH38" s="136">
        <f>IF(AQ38="0",BJ38,0)</f>
      </c>
      <c r="AI38" s="112" t="s">
        <v>10</v>
      </c>
      <c r="AJ38" s="136">
        <f>IF(AN38=0,J38,0)</f>
      </c>
      <c r="AK38" s="136">
        <f>IF(AN38=12,J38,0)</f>
      </c>
      <c r="AL38" s="136">
        <f>IF(AN38=21,J38,0)</f>
      </c>
      <c r="AN38" s="136" t="n">
        <v>21</v>
      </c>
      <c r="AO38" s="136">
        <f>G38*0.010895973</f>
      </c>
      <c r="AP38" s="136">
        <f>G38*(1-0.010895973)</f>
      </c>
      <c r="AQ38" s="139" t="s">
        <v>130</v>
      </c>
      <c r="AV38" s="136">
        <f>AW38+AX38</f>
      </c>
      <c r="AW38" s="136">
        <f>F38*AO38</f>
      </c>
      <c r="AX38" s="136">
        <f>F38*AP38</f>
      </c>
      <c r="AY38" s="139" t="s">
        <v>117</v>
      </c>
      <c r="AZ38" s="139" t="s">
        <v>118</v>
      </c>
      <c r="BA38" s="112" t="s">
        <v>119</v>
      </c>
      <c r="BC38" s="136">
        <f>AW38+AX38</f>
      </c>
      <c r="BD38" s="136">
        <f>G38/(100-BE38)*100</f>
      </c>
      <c r="BE38" s="136" t="n">
        <v>0</v>
      </c>
      <c r="BF38" s="136">
        <f>38</f>
      </c>
      <c r="BH38" s="136">
        <f>F38*AO38</f>
      </c>
      <c r="BI38" s="136">
        <f>F38*AP38</f>
      </c>
      <c r="BJ38" s="136">
        <f>F38*G38</f>
      </c>
      <c r="BK38" s="136"/>
      <c r="BL38" s="136" t="n">
        <v>11</v>
      </c>
      <c r="BW38" s="136" t="n">
        <v>21</v>
      </c>
      <c r="BX38" s="14" t="s">
        <v>169</v>
      </c>
    </row>
    <row r="39">
      <c r="A39" s="140"/>
      <c r="B39" s="141" t="s">
        <v>131</v>
      </c>
      <c r="C39" s="142" t="s">
        <v>170</v>
      </c>
      <c r="D39" s="143"/>
      <c r="E39" s="143"/>
      <c r="F39" s="143"/>
      <c r="G39" s="144"/>
      <c r="H39" s="143"/>
      <c r="I39" s="143"/>
      <c r="J39" s="143"/>
      <c r="K39" s="145"/>
      <c r="BX39" s="142" t="s">
        <v>170</v>
      </c>
    </row>
    <row r="40">
      <c r="A40" s="130" t="s">
        <v>10</v>
      </c>
      <c r="B40" s="131" t="s">
        <v>156</v>
      </c>
      <c r="C40" s="132" t="s">
        <v>171</v>
      </c>
      <c r="D40" s="131"/>
      <c r="E40" s="133" t="s">
        <v>74</v>
      </c>
      <c r="F40" s="133" t="s">
        <v>74</v>
      </c>
      <c r="G40" s="134" t="s">
        <v>74</v>
      </c>
      <c r="H40" s="94">
        <f>SUM(H41:H44)</f>
      </c>
      <c r="I40" s="94">
        <f>SUM(I41:I44)</f>
      </c>
      <c r="J40" s="94">
        <f>SUM(J41:J44)</f>
      </c>
      <c r="K40" s="135" t="s">
        <v>10</v>
      </c>
      <c r="AI40" s="112" t="s">
        <v>10</v>
      </c>
      <c r="AS40" s="94">
        <f>SUM(AJ41:AJ44)</f>
      </c>
      <c r="AT40" s="94">
        <f>SUM(AK41:AK44)</f>
      </c>
      <c r="AU40" s="94">
        <f>SUM(AL41:AL44)</f>
      </c>
    </row>
    <row r="41">
      <c r="A41" s="9" t="s">
        <v>172</v>
      </c>
      <c r="B41" s="10" t="s">
        <v>173</v>
      </c>
      <c r="C41" s="14" t="s">
        <v>174</v>
      </c>
      <c r="D41" s="10"/>
      <c r="E41" s="10" t="s">
        <v>175</v>
      </c>
      <c r="F41" s="136" t="n">
        <v>1079.4</v>
      </c>
      <c r="G41" s="137" t="n">
        <v>0</v>
      </c>
      <c r="H41" s="136">
        <f>F41*AO41</f>
      </c>
      <c r="I41" s="136">
        <f>F41*AP41</f>
      </c>
      <c r="J41" s="136">
        <f>F41*G41</f>
      </c>
      <c r="K41" s="138" t="s">
        <v>116</v>
      </c>
      <c r="Z41" s="136">
        <f>IF(AQ41="5",BJ41,0)</f>
      </c>
      <c r="AB41" s="136">
        <f>IF(AQ41="1",BH41,0)</f>
      </c>
      <c r="AC41" s="136">
        <f>IF(AQ41="1",BI41,0)</f>
      </c>
      <c r="AD41" s="136">
        <f>IF(AQ41="7",BH41,0)</f>
      </c>
      <c r="AE41" s="136">
        <f>IF(AQ41="7",BI41,0)</f>
      </c>
      <c r="AF41" s="136">
        <f>IF(AQ41="2",BH41,0)</f>
      </c>
      <c r="AG41" s="136">
        <f>IF(AQ41="2",BI41,0)</f>
      </c>
      <c r="AH41" s="136">
        <f>IF(AQ41="0",BJ41,0)</f>
      </c>
      <c r="AI41" s="112" t="s">
        <v>10</v>
      </c>
      <c r="AJ41" s="136">
        <f>IF(AN41=0,J41,0)</f>
      </c>
      <c r="AK41" s="136">
        <f>IF(AN41=12,J41,0)</f>
      </c>
      <c r="AL41" s="136">
        <f>IF(AN41=21,J41,0)</f>
      </c>
      <c r="AN41" s="136" t="n">
        <v>21</v>
      </c>
      <c r="AO41" s="136">
        <f>G41*0</f>
      </c>
      <c r="AP41" s="136">
        <f>G41*(1-0)</f>
      </c>
      <c r="AQ41" s="139" t="s">
        <v>112</v>
      </c>
      <c r="AV41" s="136">
        <f>AW41+AX41</f>
      </c>
      <c r="AW41" s="136">
        <f>F41*AO41</f>
      </c>
      <c r="AX41" s="136">
        <f>F41*AP41</f>
      </c>
      <c r="AY41" s="139" t="s">
        <v>176</v>
      </c>
      <c r="AZ41" s="139" t="s">
        <v>118</v>
      </c>
      <c r="BA41" s="112" t="s">
        <v>119</v>
      </c>
      <c r="BC41" s="136">
        <f>AW41+AX41</f>
      </c>
      <c r="BD41" s="136">
        <f>G41/(100-BE41)*100</f>
      </c>
      <c r="BE41" s="136" t="n">
        <v>0</v>
      </c>
      <c r="BF41" s="136">
        <f>41</f>
      </c>
      <c r="BH41" s="136">
        <f>F41*AO41</f>
      </c>
      <c r="BI41" s="136">
        <f>F41*AP41</f>
      </c>
      <c r="BJ41" s="136">
        <f>F41*G41</f>
      </c>
      <c r="BK41" s="136"/>
      <c r="BL41" s="136" t="n">
        <v>12</v>
      </c>
      <c r="BW41" s="136" t="n">
        <v>21</v>
      </c>
      <c r="BX41" s="14" t="s">
        <v>174</v>
      </c>
    </row>
    <row r="42">
      <c r="A42" s="9" t="s">
        <v>177</v>
      </c>
      <c r="B42" s="10" t="s">
        <v>168</v>
      </c>
      <c r="C42" s="14" t="s">
        <v>169</v>
      </c>
      <c r="D42" s="10"/>
      <c r="E42" s="10" t="s">
        <v>129</v>
      </c>
      <c r="F42" s="136" t="n">
        <v>1942.92</v>
      </c>
      <c r="G42" s="137" t="n">
        <v>0</v>
      </c>
      <c r="H42" s="136">
        <f>F42*AO42</f>
      </c>
      <c r="I42" s="136">
        <f>F42*AP42</f>
      </c>
      <c r="J42" s="136">
        <f>F42*G42</f>
      </c>
      <c r="K42" s="138" t="s">
        <v>116</v>
      </c>
      <c r="Z42" s="136">
        <f>IF(AQ42="5",BJ42,0)</f>
      </c>
      <c r="AB42" s="136">
        <f>IF(AQ42="1",BH42,0)</f>
      </c>
      <c r="AC42" s="136">
        <f>IF(AQ42="1",BI42,0)</f>
      </c>
      <c r="AD42" s="136">
        <f>IF(AQ42="7",BH42,0)</f>
      </c>
      <c r="AE42" s="136">
        <f>IF(AQ42="7",BI42,0)</f>
      </c>
      <c r="AF42" s="136">
        <f>IF(AQ42="2",BH42,0)</f>
      </c>
      <c r="AG42" s="136">
        <f>IF(AQ42="2",BI42,0)</f>
      </c>
      <c r="AH42" s="136">
        <f>IF(AQ42="0",BJ42,0)</f>
      </c>
      <c r="AI42" s="112" t="s">
        <v>10</v>
      </c>
      <c r="AJ42" s="136">
        <f>IF(AN42=0,J42,0)</f>
      </c>
      <c r="AK42" s="136">
        <f>IF(AN42=12,J42,0)</f>
      </c>
      <c r="AL42" s="136">
        <f>IF(AN42=21,J42,0)</f>
      </c>
      <c r="AN42" s="136" t="n">
        <v>21</v>
      </c>
      <c r="AO42" s="136">
        <f>G42*0.010895973</f>
      </c>
      <c r="AP42" s="136">
        <f>G42*(1-0.010895973)</f>
      </c>
      <c r="AQ42" s="139" t="s">
        <v>130</v>
      </c>
      <c r="AV42" s="136">
        <f>AW42+AX42</f>
      </c>
      <c r="AW42" s="136">
        <f>F42*AO42</f>
      </c>
      <c r="AX42" s="136">
        <f>F42*AP42</f>
      </c>
      <c r="AY42" s="139" t="s">
        <v>176</v>
      </c>
      <c r="AZ42" s="139" t="s">
        <v>118</v>
      </c>
      <c r="BA42" s="112" t="s">
        <v>119</v>
      </c>
      <c r="BC42" s="136">
        <f>AW42+AX42</f>
      </c>
      <c r="BD42" s="136">
        <f>G42/(100-BE42)*100</f>
      </c>
      <c r="BE42" s="136" t="n">
        <v>0</v>
      </c>
      <c r="BF42" s="136">
        <f>42</f>
      </c>
      <c r="BH42" s="136">
        <f>F42*AO42</f>
      </c>
      <c r="BI42" s="136">
        <f>F42*AP42</f>
      </c>
      <c r="BJ42" s="136">
        <f>F42*G42</f>
      </c>
      <c r="BK42" s="136"/>
      <c r="BL42" s="136" t="n">
        <v>12</v>
      </c>
      <c r="BW42" s="136" t="n">
        <v>21</v>
      </c>
      <c r="BX42" s="14" t="s">
        <v>169</v>
      </c>
    </row>
    <row r="43">
      <c r="A43" s="140"/>
      <c r="B43" s="141" t="s">
        <v>131</v>
      </c>
      <c r="C43" s="142" t="s">
        <v>170</v>
      </c>
      <c r="D43" s="143"/>
      <c r="E43" s="143"/>
      <c r="F43" s="143"/>
      <c r="G43" s="144"/>
      <c r="H43" s="143"/>
      <c r="I43" s="143"/>
      <c r="J43" s="143"/>
      <c r="K43" s="145"/>
      <c r="BX43" s="142" t="s">
        <v>170</v>
      </c>
    </row>
    <row r="44">
      <c r="A44" s="9" t="s">
        <v>178</v>
      </c>
      <c r="B44" s="10" t="s">
        <v>165</v>
      </c>
      <c r="C44" s="14" t="s">
        <v>166</v>
      </c>
      <c r="D44" s="10"/>
      <c r="E44" s="10" t="s">
        <v>129</v>
      </c>
      <c r="F44" s="136" t="n">
        <v>1942.92</v>
      </c>
      <c r="G44" s="137" t="n">
        <v>0</v>
      </c>
      <c r="H44" s="136">
        <f>F44*AO44</f>
      </c>
      <c r="I44" s="136">
        <f>F44*AP44</f>
      </c>
      <c r="J44" s="136">
        <f>F44*G44</f>
      </c>
      <c r="K44" s="138" t="s">
        <v>116</v>
      </c>
      <c r="Z44" s="136">
        <f>IF(AQ44="5",BJ44,0)</f>
      </c>
      <c r="AB44" s="136">
        <f>IF(AQ44="1",BH44,0)</f>
      </c>
      <c r="AC44" s="136">
        <f>IF(AQ44="1",BI44,0)</f>
      </c>
      <c r="AD44" s="136">
        <f>IF(AQ44="7",BH44,0)</f>
      </c>
      <c r="AE44" s="136">
        <f>IF(AQ44="7",BI44,0)</f>
      </c>
      <c r="AF44" s="136">
        <f>IF(AQ44="2",BH44,0)</f>
      </c>
      <c r="AG44" s="136">
        <f>IF(AQ44="2",BI44,0)</f>
      </c>
      <c r="AH44" s="136">
        <f>IF(AQ44="0",BJ44,0)</f>
      </c>
      <c r="AI44" s="112" t="s">
        <v>10</v>
      </c>
      <c r="AJ44" s="136">
        <f>IF(AN44=0,J44,0)</f>
      </c>
      <c r="AK44" s="136">
        <f>IF(AN44=12,J44,0)</f>
      </c>
      <c r="AL44" s="136">
        <f>IF(AN44=21,J44,0)</f>
      </c>
      <c r="AN44" s="136" t="n">
        <v>21</v>
      </c>
      <c r="AO44" s="136">
        <f>G44*0</f>
      </c>
      <c r="AP44" s="136">
        <f>G44*(1-0)</f>
      </c>
      <c r="AQ44" s="139" t="s">
        <v>112</v>
      </c>
      <c r="AV44" s="136">
        <f>AW44+AX44</f>
      </c>
      <c r="AW44" s="136">
        <f>F44*AO44</f>
      </c>
      <c r="AX44" s="136">
        <f>F44*AP44</f>
      </c>
      <c r="AY44" s="139" t="s">
        <v>176</v>
      </c>
      <c r="AZ44" s="139" t="s">
        <v>118</v>
      </c>
      <c r="BA44" s="112" t="s">
        <v>119</v>
      </c>
      <c r="BC44" s="136">
        <f>AW44+AX44</f>
      </c>
      <c r="BD44" s="136">
        <f>G44/(100-BE44)*100</f>
      </c>
      <c r="BE44" s="136" t="n">
        <v>0</v>
      </c>
      <c r="BF44" s="136">
        <f>44</f>
      </c>
      <c r="BH44" s="136">
        <f>F44*AO44</f>
      </c>
      <c r="BI44" s="136">
        <f>F44*AP44</f>
      </c>
      <c r="BJ44" s="136">
        <f>F44*G44</f>
      </c>
      <c r="BK44" s="136"/>
      <c r="BL44" s="136" t="n">
        <v>12</v>
      </c>
      <c r="BW44" s="136" t="n">
        <v>21</v>
      </c>
      <c r="BX44" s="14" t="s">
        <v>166</v>
      </c>
    </row>
    <row r="45">
      <c r="A45" s="130" t="s">
        <v>10</v>
      </c>
      <c r="B45" s="131" t="s">
        <v>159</v>
      </c>
      <c r="C45" s="132" t="s">
        <v>179</v>
      </c>
      <c r="D45" s="131"/>
      <c r="E45" s="133" t="s">
        <v>74</v>
      </c>
      <c r="F45" s="133" t="s">
        <v>74</v>
      </c>
      <c r="G45" s="134" t="s">
        <v>74</v>
      </c>
      <c r="H45" s="94">
        <f>SUM(H46:H50)</f>
      </c>
      <c r="I45" s="94">
        <f>SUM(I46:I50)</f>
      </c>
      <c r="J45" s="94">
        <f>SUM(J46:J50)</f>
      </c>
      <c r="K45" s="135" t="s">
        <v>10</v>
      </c>
      <c r="AI45" s="112" t="s">
        <v>10</v>
      </c>
      <c r="AS45" s="94">
        <f>SUM(AJ46:AJ50)</f>
      </c>
      <c r="AT45" s="94">
        <f>SUM(AK46:AK50)</f>
      </c>
      <c r="AU45" s="94">
        <f>SUM(AL46:AL50)</f>
      </c>
    </row>
    <row r="46">
      <c r="A46" s="9" t="s">
        <v>180</v>
      </c>
      <c r="B46" s="10" t="s">
        <v>181</v>
      </c>
      <c r="C46" s="14" t="s">
        <v>182</v>
      </c>
      <c r="D46" s="10"/>
      <c r="E46" s="10" t="s">
        <v>175</v>
      </c>
      <c r="F46" s="136" t="n">
        <v>168</v>
      </c>
      <c r="G46" s="137" t="n">
        <v>0</v>
      </c>
      <c r="H46" s="136">
        <f>F46*AO46</f>
      </c>
      <c r="I46" s="136">
        <f>F46*AP46</f>
      </c>
      <c r="J46" s="136">
        <f>F46*G46</f>
      </c>
      <c r="K46" s="138" t="s">
        <v>116</v>
      </c>
      <c r="Z46" s="136">
        <f>IF(AQ46="5",BJ46,0)</f>
      </c>
      <c r="AB46" s="136">
        <f>IF(AQ46="1",BH46,0)</f>
      </c>
      <c r="AC46" s="136">
        <f>IF(AQ46="1",BI46,0)</f>
      </c>
      <c r="AD46" s="136">
        <f>IF(AQ46="7",BH46,0)</f>
      </c>
      <c r="AE46" s="136">
        <f>IF(AQ46="7",BI46,0)</f>
      </c>
      <c r="AF46" s="136">
        <f>IF(AQ46="2",BH46,0)</f>
      </c>
      <c r="AG46" s="136">
        <f>IF(AQ46="2",BI46,0)</f>
      </c>
      <c r="AH46" s="136">
        <f>IF(AQ46="0",BJ46,0)</f>
      </c>
      <c r="AI46" s="112" t="s">
        <v>10</v>
      </c>
      <c r="AJ46" s="136">
        <f>IF(AN46=0,J46,0)</f>
      </c>
      <c r="AK46" s="136">
        <f>IF(AN46=12,J46,0)</f>
      </c>
      <c r="AL46" s="136">
        <f>IF(AN46=21,J46,0)</f>
      </c>
      <c r="AN46" s="136" t="n">
        <v>21</v>
      </c>
      <c r="AO46" s="136">
        <f>G46*0</f>
      </c>
      <c r="AP46" s="136">
        <f>G46*(1-0)</f>
      </c>
      <c r="AQ46" s="139" t="s">
        <v>112</v>
      </c>
      <c r="AV46" s="136">
        <f>AW46+AX46</f>
      </c>
      <c r="AW46" s="136">
        <f>F46*AO46</f>
      </c>
      <c r="AX46" s="136">
        <f>F46*AP46</f>
      </c>
      <c r="AY46" s="139" t="s">
        <v>183</v>
      </c>
      <c r="AZ46" s="139" t="s">
        <v>118</v>
      </c>
      <c r="BA46" s="112" t="s">
        <v>119</v>
      </c>
      <c r="BC46" s="136">
        <f>AW46+AX46</f>
      </c>
      <c r="BD46" s="136">
        <f>G46/(100-BE46)*100</f>
      </c>
      <c r="BE46" s="136" t="n">
        <v>0</v>
      </c>
      <c r="BF46" s="136">
        <f>46</f>
      </c>
      <c r="BH46" s="136">
        <f>F46*AO46</f>
      </c>
      <c r="BI46" s="136">
        <f>F46*AP46</f>
      </c>
      <c r="BJ46" s="136">
        <f>F46*G46</f>
      </c>
      <c r="BK46" s="136"/>
      <c r="BL46" s="136" t="n">
        <v>13</v>
      </c>
      <c r="BW46" s="136" t="n">
        <v>21</v>
      </c>
      <c r="BX46" s="14" t="s">
        <v>182</v>
      </c>
    </row>
    <row r="47">
      <c r="A47" s="9" t="s">
        <v>184</v>
      </c>
      <c r="B47" s="10" t="s">
        <v>185</v>
      </c>
      <c r="C47" s="14" t="s">
        <v>186</v>
      </c>
      <c r="D47" s="10"/>
      <c r="E47" s="10" t="s">
        <v>175</v>
      </c>
      <c r="F47" s="136" t="n">
        <v>46</v>
      </c>
      <c r="G47" s="137" t="n">
        <v>0</v>
      </c>
      <c r="H47" s="136">
        <f>F47*AO47</f>
      </c>
      <c r="I47" s="136">
        <f>F47*AP47</f>
      </c>
      <c r="J47" s="136">
        <f>F47*G47</f>
      </c>
      <c r="K47" s="138" t="s">
        <v>116</v>
      </c>
      <c r="Z47" s="136">
        <f>IF(AQ47="5",BJ47,0)</f>
      </c>
      <c r="AB47" s="136">
        <f>IF(AQ47="1",BH47,0)</f>
      </c>
      <c r="AC47" s="136">
        <f>IF(AQ47="1",BI47,0)</f>
      </c>
      <c r="AD47" s="136">
        <f>IF(AQ47="7",BH47,0)</f>
      </c>
      <c r="AE47" s="136">
        <f>IF(AQ47="7",BI47,0)</f>
      </c>
      <c r="AF47" s="136">
        <f>IF(AQ47="2",BH47,0)</f>
      </c>
      <c r="AG47" s="136">
        <f>IF(AQ47="2",BI47,0)</f>
      </c>
      <c r="AH47" s="136">
        <f>IF(AQ47="0",BJ47,0)</f>
      </c>
      <c r="AI47" s="112" t="s">
        <v>10</v>
      </c>
      <c r="AJ47" s="136">
        <f>IF(AN47=0,J47,0)</f>
      </c>
      <c r="AK47" s="136">
        <f>IF(AN47=12,J47,0)</f>
      </c>
      <c r="AL47" s="136">
        <f>IF(AN47=21,J47,0)</f>
      </c>
      <c r="AN47" s="136" t="n">
        <v>21</v>
      </c>
      <c r="AO47" s="136">
        <f>G47*0</f>
      </c>
      <c r="AP47" s="136">
        <f>G47*(1-0)</f>
      </c>
      <c r="AQ47" s="139" t="s">
        <v>112</v>
      </c>
      <c r="AV47" s="136">
        <f>AW47+AX47</f>
      </c>
      <c r="AW47" s="136">
        <f>F47*AO47</f>
      </c>
      <c r="AX47" s="136">
        <f>F47*AP47</f>
      </c>
      <c r="AY47" s="139" t="s">
        <v>183</v>
      </c>
      <c r="AZ47" s="139" t="s">
        <v>118</v>
      </c>
      <c r="BA47" s="112" t="s">
        <v>119</v>
      </c>
      <c r="BC47" s="136">
        <f>AW47+AX47</f>
      </c>
      <c r="BD47" s="136">
        <f>G47/(100-BE47)*100</f>
      </c>
      <c r="BE47" s="136" t="n">
        <v>0</v>
      </c>
      <c r="BF47" s="136">
        <f>47</f>
      </c>
      <c r="BH47" s="136">
        <f>F47*AO47</f>
      </c>
      <c r="BI47" s="136">
        <f>F47*AP47</f>
      </c>
      <c r="BJ47" s="136">
        <f>F47*G47</f>
      </c>
      <c r="BK47" s="136"/>
      <c r="BL47" s="136" t="n">
        <v>13</v>
      </c>
      <c r="BW47" s="136" t="n">
        <v>21</v>
      </c>
      <c r="BX47" s="14" t="s">
        <v>186</v>
      </c>
    </row>
    <row r="48" ht="36.75">
      <c r="A48" s="140"/>
      <c r="B48" s="141" t="s">
        <v>131</v>
      </c>
      <c r="C48" s="142" t="s">
        <v>187</v>
      </c>
      <c r="D48" s="143"/>
      <c r="E48" s="143"/>
      <c r="F48" s="143"/>
      <c r="G48" s="144"/>
      <c r="H48" s="143"/>
      <c r="I48" s="143"/>
      <c r="J48" s="143"/>
      <c r="K48" s="145"/>
      <c r="BX48" s="142" t="s">
        <v>187</v>
      </c>
    </row>
    <row r="49">
      <c r="A49" s="9" t="s">
        <v>188</v>
      </c>
      <c r="B49" s="10" t="s">
        <v>165</v>
      </c>
      <c r="C49" s="14" t="s">
        <v>166</v>
      </c>
      <c r="D49" s="10"/>
      <c r="E49" s="10" t="s">
        <v>129</v>
      </c>
      <c r="F49" s="136" t="n">
        <v>82.8</v>
      </c>
      <c r="G49" s="137" t="n">
        <v>0</v>
      </c>
      <c r="H49" s="136">
        <f>F49*AO49</f>
      </c>
      <c r="I49" s="136">
        <f>F49*AP49</f>
      </c>
      <c r="J49" s="136">
        <f>F49*G49</f>
      </c>
      <c r="K49" s="138" t="s">
        <v>116</v>
      </c>
      <c r="Z49" s="136">
        <f>IF(AQ49="5",BJ49,0)</f>
      </c>
      <c r="AB49" s="136">
        <f>IF(AQ49="1",BH49,0)</f>
      </c>
      <c r="AC49" s="136">
        <f>IF(AQ49="1",BI49,0)</f>
      </c>
      <c r="AD49" s="136">
        <f>IF(AQ49="7",BH49,0)</f>
      </c>
      <c r="AE49" s="136">
        <f>IF(AQ49="7",BI49,0)</f>
      </c>
      <c r="AF49" s="136">
        <f>IF(AQ49="2",BH49,0)</f>
      </c>
      <c r="AG49" s="136">
        <f>IF(AQ49="2",BI49,0)</f>
      </c>
      <c r="AH49" s="136">
        <f>IF(AQ49="0",BJ49,0)</f>
      </c>
      <c r="AI49" s="112" t="s">
        <v>10</v>
      </c>
      <c r="AJ49" s="136">
        <f>IF(AN49=0,J49,0)</f>
      </c>
      <c r="AK49" s="136">
        <f>IF(AN49=12,J49,0)</f>
      </c>
      <c r="AL49" s="136">
        <f>IF(AN49=21,J49,0)</f>
      </c>
      <c r="AN49" s="136" t="n">
        <v>21</v>
      </c>
      <c r="AO49" s="136">
        <f>G49*0</f>
      </c>
      <c r="AP49" s="136">
        <f>G49*(1-0)</f>
      </c>
      <c r="AQ49" s="139" t="s">
        <v>112</v>
      </c>
      <c r="AV49" s="136">
        <f>AW49+AX49</f>
      </c>
      <c r="AW49" s="136">
        <f>F49*AO49</f>
      </c>
      <c r="AX49" s="136">
        <f>F49*AP49</f>
      </c>
      <c r="AY49" s="139" t="s">
        <v>183</v>
      </c>
      <c r="AZ49" s="139" t="s">
        <v>118</v>
      </c>
      <c r="BA49" s="112" t="s">
        <v>119</v>
      </c>
      <c r="BC49" s="136">
        <f>AW49+AX49</f>
      </c>
      <c r="BD49" s="136">
        <f>G49/(100-BE49)*100</f>
      </c>
      <c r="BE49" s="136" t="n">
        <v>0</v>
      </c>
      <c r="BF49" s="136">
        <f>49</f>
      </c>
      <c r="BH49" s="136">
        <f>F49*AO49</f>
      </c>
      <c r="BI49" s="136">
        <f>F49*AP49</f>
      </c>
      <c r="BJ49" s="136">
        <f>F49*G49</f>
      </c>
      <c r="BK49" s="136"/>
      <c r="BL49" s="136" t="n">
        <v>13</v>
      </c>
      <c r="BW49" s="136" t="n">
        <v>21</v>
      </c>
      <c r="BX49" s="14" t="s">
        <v>166</v>
      </c>
    </row>
    <row r="50">
      <c r="A50" s="9" t="s">
        <v>189</v>
      </c>
      <c r="B50" s="10" t="s">
        <v>168</v>
      </c>
      <c r="C50" s="14" t="s">
        <v>169</v>
      </c>
      <c r="D50" s="10"/>
      <c r="E50" s="10" t="s">
        <v>129</v>
      </c>
      <c r="F50" s="136" t="n">
        <v>82.8</v>
      </c>
      <c r="G50" s="137" t="n">
        <v>0</v>
      </c>
      <c r="H50" s="136">
        <f>F50*AO50</f>
      </c>
      <c r="I50" s="136">
        <f>F50*AP50</f>
      </c>
      <c r="J50" s="136">
        <f>F50*G50</f>
      </c>
      <c r="K50" s="138" t="s">
        <v>116</v>
      </c>
      <c r="Z50" s="136">
        <f>IF(AQ50="5",BJ50,0)</f>
      </c>
      <c r="AB50" s="136">
        <f>IF(AQ50="1",BH50,0)</f>
      </c>
      <c r="AC50" s="136">
        <f>IF(AQ50="1",BI50,0)</f>
      </c>
      <c r="AD50" s="136">
        <f>IF(AQ50="7",BH50,0)</f>
      </c>
      <c r="AE50" s="136">
        <f>IF(AQ50="7",BI50,0)</f>
      </c>
      <c r="AF50" s="136">
        <f>IF(AQ50="2",BH50,0)</f>
      </c>
      <c r="AG50" s="136">
        <f>IF(AQ50="2",BI50,0)</f>
      </c>
      <c r="AH50" s="136">
        <f>IF(AQ50="0",BJ50,0)</f>
      </c>
      <c r="AI50" s="112" t="s">
        <v>10</v>
      </c>
      <c r="AJ50" s="136">
        <f>IF(AN50=0,J50,0)</f>
      </c>
      <c r="AK50" s="136">
        <f>IF(AN50=12,J50,0)</f>
      </c>
      <c r="AL50" s="136">
        <f>IF(AN50=21,J50,0)</f>
      </c>
      <c r="AN50" s="136" t="n">
        <v>21</v>
      </c>
      <c r="AO50" s="136">
        <f>G50*0.010895974</f>
      </c>
      <c r="AP50" s="136">
        <f>G50*(1-0.010895974)</f>
      </c>
      <c r="AQ50" s="139" t="s">
        <v>130</v>
      </c>
      <c r="AV50" s="136">
        <f>AW50+AX50</f>
      </c>
      <c r="AW50" s="136">
        <f>F50*AO50</f>
      </c>
      <c r="AX50" s="136">
        <f>F50*AP50</f>
      </c>
      <c r="AY50" s="139" t="s">
        <v>183</v>
      </c>
      <c r="AZ50" s="139" t="s">
        <v>118</v>
      </c>
      <c r="BA50" s="112" t="s">
        <v>119</v>
      </c>
      <c r="BC50" s="136">
        <f>AW50+AX50</f>
      </c>
      <c r="BD50" s="136">
        <f>G50/(100-BE50)*100</f>
      </c>
      <c r="BE50" s="136" t="n">
        <v>0</v>
      </c>
      <c r="BF50" s="136">
        <f>50</f>
      </c>
      <c r="BH50" s="136">
        <f>F50*AO50</f>
      </c>
      <c r="BI50" s="136">
        <f>F50*AP50</f>
      </c>
      <c r="BJ50" s="136">
        <f>F50*G50</f>
      </c>
      <c r="BK50" s="136"/>
      <c r="BL50" s="136" t="n">
        <v>13</v>
      </c>
      <c r="BW50" s="136" t="n">
        <v>21</v>
      </c>
      <c r="BX50" s="14" t="s">
        <v>169</v>
      </c>
    </row>
    <row r="51">
      <c r="A51" s="140"/>
      <c r="B51" s="141" t="s">
        <v>131</v>
      </c>
      <c r="C51" s="142" t="s">
        <v>170</v>
      </c>
      <c r="D51" s="143"/>
      <c r="E51" s="143"/>
      <c r="F51" s="143"/>
      <c r="G51" s="144"/>
      <c r="H51" s="143"/>
      <c r="I51" s="143"/>
      <c r="J51" s="143"/>
      <c r="K51" s="145"/>
      <c r="BX51" s="142" t="s">
        <v>170</v>
      </c>
    </row>
    <row r="52">
      <c r="A52" s="130" t="s">
        <v>10</v>
      </c>
      <c r="B52" s="131" t="s">
        <v>172</v>
      </c>
      <c r="C52" s="132" t="s">
        <v>190</v>
      </c>
      <c r="D52" s="131"/>
      <c r="E52" s="133" t="s">
        <v>74</v>
      </c>
      <c r="F52" s="133" t="s">
        <v>74</v>
      </c>
      <c r="G52" s="134" t="s">
        <v>74</v>
      </c>
      <c r="H52" s="94">
        <f>SUM(H53:H53)</f>
      </c>
      <c r="I52" s="94">
        <f>SUM(I53:I53)</f>
      </c>
      <c r="J52" s="94">
        <f>SUM(J53:J53)</f>
      </c>
      <c r="K52" s="135" t="s">
        <v>10</v>
      </c>
      <c r="AI52" s="112" t="s">
        <v>10</v>
      </c>
      <c r="AS52" s="94">
        <f>SUM(AJ53:AJ53)</f>
      </c>
      <c r="AT52" s="94">
        <f>SUM(AK53:AK53)</f>
      </c>
      <c r="AU52" s="94">
        <f>SUM(AL53:AL53)</f>
      </c>
    </row>
    <row r="53">
      <c r="A53" s="9" t="s">
        <v>191</v>
      </c>
      <c r="B53" s="10" t="s">
        <v>192</v>
      </c>
      <c r="C53" s="14" t="s">
        <v>193</v>
      </c>
      <c r="D53" s="10"/>
      <c r="E53" s="10" t="s">
        <v>175</v>
      </c>
      <c r="F53" s="136" t="n">
        <v>168</v>
      </c>
      <c r="G53" s="137" t="n">
        <v>0</v>
      </c>
      <c r="H53" s="136">
        <f>F53*AO53</f>
      </c>
      <c r="I53" s="136">
        <f>F53*AP53</f>
      </c>
      <c r="J53" s="136">
        <f>F53*G53</f>
      </c>
      <c r="K53" s="138" t="s">
        <v>116</v>
      </c>
      <c r="Z53" s="136">
        <f>IF(AQ53="5",BJ53,0)</f>
      </c>
      <c r="AB53" s="136">
        <f>IF(AQ53="1",BH53,0)</f>
      </c>
      <c r="AC53" s="136">
        <f>IF(AQ53="1",BI53,0)</f>
      </c>
      <c r="AD53" s="136">
        <f>IF(AQ53="7",BH53,0)</f>
      </c>
      <c r="AE53" s="136">
        <f>IF(AQ53="7",BI53,0)</f>
      </c>
      <c r="AF53" s="136">
        <f>IF(AQ53="2",BH53,0)</f>
      </c>
      <c r="AG53" s="136">
        <f>IF(AQ53="2",BI53,0)</f>
      </c>
      <c r="AH53" s="136">
        <f>IF(AQ53="0",BJ53,0)</f>
      </c>
      <c r="AI53" s="112" t="s">
        <v>10</v>
      </c>
      <c r="AJ53" s="136">
        <f>IF(AN53=0,J53,0)</f>
      </c>
      <c r="AK53" s="136">
        <f>IF(AN53=12,J53,0)</f>
      </c>
      <c r="AL53" s="136">
        <f>IF(AN53=21,J53,0)</f>
      </c>
      <c r="AN53" s="136" t="n">
        <v>21</v>
      </c>
      <c r="AO53" s="136">
        <f>G53*0</f>
      </c>
      <c r="AP53" s="136">
        <f>G53*(1-0)</f>
      </c>
      <c r="AQ53" s="139" t="s">
        <v>112</v>
      </c>
      <c r="AV53" s="136">
        <f>AW53+AX53</f>
      </c>
      <c r="AW53" s="136">
        <f>F53*AO53</f>
      </c>
      <c r="AX53" s="136">
        <f>F53*AP53</f>
      </c>
      <c r="AY53" s="139" t="s">
        <v>194</v>
      </c>
      <c r="AZ53" s="139" t="s">
        <v>118</v>
      </c>
      <c r="BA53" s="112" t="s">
        <v>119</v>
      </c>
      <c r="BC53" s="136">
        <f>AW53+AX53</f>
      </c>
      <c r="BD53" s="136">
        <f>G53/(100-BE53)*100</f>
      </c>
      <c r="BE53" s="136" t="n">
        <v>0</v>
      </c>
      <c r="BF53" s="136">
        <f>53</f>
      </c>
      <c r="BH53" s="136">
        <f>F53*AO53</f>
      </c>
      <c r="BI53" s="136">
        <f>F53*AP53</f>
      </c>
      <c r="BJ53" s="136">
        <f>F53*G53</f>
      </c>
      <c r="BK53" s="136"/>
      <c r="BL53" s="136" t="n">
        <v>17</v>
      </c>
      <c r="BW53" s="136" t="n">
        <v>21</v>
      </c>
      <c r="BX53" s="14" t="s">
        <v>193</v>
      </c>
    </row>
    <row r="54">
      <c r="A54" s="140"/>
      <c r="B54" s="141" t="s">
        <v>131</v>
      </c>
      <c r="C54" s="142" t="s">
        <v>195</v>
      </c>
      <c r="D54" s="143"/>
      <c r="E54" s="143"/>
      <c r="F54" s="143"/>
      <c r="G54" s="144"/>
      <c r="H54" s="143"/>
      <c r="I54" s="143"/>
      <c r="J54" s="143"/>
      <c r="K54" s="145"/>
      <c r="BX54" s="142" t="s">
        <v>195</v>
      </c>
    </row>
    <row r="55">
      <c r="A55" s="130" t="s">
        <v>10</v>
      </c>
      <c r="B55" s="131" t="s">
        <v>177</v>
      </c>
      <c r="C55" s="132" t="s">
        <v>196</v>
      </c>
      <c r="D55" s="131"/>
      <c r="E55" s="133" t="s">
        <v>74</v>
      </c>
      <c r="F55" s="133" t="s">
        <v>74</v>
      </c>
      <c r="G55" s="134" t="s">
        <v>74</v>
      </c>
      <c r="H55" s="94">
        <f>SUM(H56:H62)</f>
      </c>
      <c r="I55" s="94">
        <f>SUM(I56:I62)</f>
      </c>
      <c r="J55" s="94">
        <f>SUM(J56:J62)</f>
      </c>
      <c r="K55" s="135" t="s">
        <v>10</v>
      </c>
      <c r="AI55" s="112" t="s">
        <v>10</v>
      </c>
      <c r="AS55" s="94">
        <f>SUM(AJ56:AJ62)</f>
      </c>
      <c r="AT55" s="94">
        <f>SUM(AK56:AK62)</f>
      </c>
      <c r="AU55" s="94">
        <f>SUM(AL56:AL62)</f>
      </c>
    </row>
    <row r="56">
      <c r="A56" s="9" t="s">
        <v>197</v>
      </c>
      <c r="B56" s="10" t="s">
        <v>198</v>
      </c>
      <c r="C56" s="14" t="s">
        <v>199</v>
      </c>
      <c r="D56" s="10"/>
      <c r="E56" s="10" t="s">
        <v>200</v>
      </c>
      <c r="F56" s="136" t="n">
        <v>1</v>
      </c>
      <c r="G56" s="137" t="n">
        <v>0</v>
      </c>
      <c r="H56" s="136">
        <f>F56*AO56</f>
      </c>
      <c r="I56" s="136">
        <f>F56*AP56</f>
      </c>
      <c r="J56" s="136">
        <f>F56*G56</f>
      </c>
      <c r="K56" s="138" t="s">
        <v>116</v>
      </c>
      <c r="Z56" s="136">
        <f>IF(AQ56="5",BJ56,0)</f>
      </c>
      <c r="AB56" s="136">
        <f>IF(AQ56="1",BH56,0)</f>
      </c>
      <c r="AC56" s="136">
        <f>IF(AQ56="1",BI56,0)</f>
      </c>
      <c r="AD56" s="136">
        <f>IF(AQ56="7",BH56,0)</f>
      </c>
      <c r="AE56" s="136">
        <f>IF(AQ56="7",BI56,0)</f>
      </c>
      <c r="AF56" s="136">
        <f>IF(AQ56="2",BH56,0)</f>
      </c>
      <c r="AG56" s="136">
        <f>IF(AQ56="2",BI56,0)</f>
      </c>
      <c r="AH56" s="136">
        <f>IF(AQ56="0",BJ56,0)</f>
      </c>
      <c r="AI56" s="112" t="s">
        <v>10</v>
      </c>
      <c r="AJ56" s="136">
        <f>IF(AN56=0,J56,0)</f>
      </c>
      <c r="AK56" s="136">
        <f>IF(AN56=12,J56,0)</f>
      </c>
      <c r="AL56" s="136">
        <f>IF(AN56=21,J56,0)</f>
      </c>
      <c r="AN56" s="136" t="n">
        <v>21</v>
      </c>
      <c r="AO56" s="136">
        <f>G56*0.13605962</f>
      </c>
      <c r="AP56" s="136">
        <f>G56*(1-0.13605962)</f>
      </c>
      <c r="AQ56" s="139" t="s">
        <v>112</v>
      </c>
      <c r="AV56" s="136">
        <f>AW56+AX56</f>
      </c>
      <c r="AW56" s="136">
        <f>F56*AO56</f>
      </c>
      <c r="AX56" s="136">
        <f>F56*AP56</f>
      </c>
      <c r="AY56" s="139" t="s">
        <v>201</v>
      </c>
      <c r="AZ56" s="139" t="s">
        <v>118</v>
      </c>
      <c r="BA56" s="112" t="s">
        <v>119</v>
      </c>
      <c r="BC56" s="136">
        <f>AW56+AX56</f>
      </c>
      <c r="BD56" s="136">
        <f>G56/(100-BE56)*100</f>
      </c>
      <c r="BE56" s="136" t="n">
        <v>0</v>
      </c>
      <c r="BF56" s="136">
        <f>56</f>
      </c>
      <c r="BH56" s="136">
        <f>F56*AO56</f>
      </c>
      <c r="BI56" s="136">
        <f>F56*AP56</f>
      </c>
      <c r="BJ56" s="136">
        <f>F56*G56</f>
      </c>
      <c r="BK56" s="136"/>
      <c r="BL56" s="136" t="n">
        <v>18</v>
      </c>
      <c r="BW56" s="136" t="n">
        <v>21</v>
      </c>
      <c r="BX56" s="14" t="s">
        <v>199</v>
      </c>
    </row>
    <row r="57">
      <c r="A57" s="9" t="s">
        <v>202</v>
      </c>
      <c r="B57" s="10" t="s">
        <v>203</v>
      </c>
      <c r="C57" s="14" t="s">
        <v>204</v>
      </c>
      <c r="D57" s="10"/>
      <c r="E57" s="10" t="s">
        <v>200</v>
      </c>
      <c r="F57" s="136" t="n">
        <v>1</v>
      </c>
      <c r="G57" s="137" t="n">
        <v>0</v>
      </c>
      <c r="H57" s="136">
        <f>F57*AO57</f>
      </c>
      <c r="I57" s="136">
        <f>F57*AP57</f>
      </c>
      <c r="J57" s="136">
        <f>F57*G57</f>
      </c>
      <c r="K57" s="138" t="s">
        <v>116</v>
      </c>
      <c r="Z57" s="136">
        <f>IF(AQ57="5",BJ57,0)</f>
      </c>
      <c r="AB57" s="136">
        <f>IF(AQ57="1",BH57,0)</f>
      </c>
      <c r="AC57" s="136">
        <f>IF(AQ57="1",BI57,0)</f>
      </c>
      <c r="AD57" s="136">
        <f>IF(AQ57="7",BH57,0)</f>
      </c>
      <c r="AE57" s="136">
        <f>IF(AQ57="7",BI57,0)</f>
      </c>
      <c r="AF57" s="136">
        <f>IF(AQ57="2",BH57,0)</f>
      </c>
      <c r="AG57" s="136">
        <f>IF(AQ57="2",BI57,0)</f>
      </c>
      <c r="AH57" s="136">
        <f>IF(AQ57="0",BJ57,0)</f>
      </c>
      <c r="AI57" s="112" t="s">
        <v>10</v>
      </c>
      <c r="AJ57" s="136">
        <f>IF(AN57=0,J57,0)</f>
      </c>
      <c r="AK57" s="136">
        <f>IF(AN57=12,J57,0)</f>
      </c>
      <c r="AL57" s="136">
        <f>IF(AN57=21,J57,0)</f>
      </c>
      <c r="AN57" s="136" t="n">
        <v>21</v>
      </c>
      <c r="AO57" s="136">
        <f>G57*1</f>
      </c>
      <c r="AP57" s="136">
        <f>G57*(1-1)</f>
      </c>
      <c r="AQ57" s="139" t="s">
        <v>112</v>
      </c>
      <c r="AV57" s="136">
        <f>AW57+AX57</f>
      </c>
      <c r="AW57" s="136">
        <f>F57*AO57</f>
      </c>
      <c r="AX57" s="136">
        <f>F57*AP57</f>
      </c>
      <c r="AY57" s="139" t="s">
        <v>201</v>
      </c>
      <c r="AZ57" s="139" t="s">
        <v>118</v>
      </c>
      <c r="BA57" s="112" t="s">
        <v>119</v>
      </c>
      <c r="BC57" s="136">
        <f>AW57+AX57</f>
      </c>
      <c r="BD57" s="136">
        <f>G57/(100-BE57)*100</f>
      </c>
      <c r="BE57" s="136" t="n">
        <v>0</v>
      </c>
      <c r="BF57" s="136">
        <f>57</f>
      </c>
      <c r="BH57" s="136">
        <f>F57*AO57</f>
      </c>
      <c r="BI57" s="136">
        <f>F57*AP57</f>
      </c>
      <c r="BJ57" s="136">
        <f>F57*G57</f>
      </c>
      <c r="BK57" s="136"/>
      <c r="BL57" s="136" t="n">
        <v>18</v>
      </c>
      <c r="BW57" s="136" t="n">
        <v>21</v>
      </c>
      <c r="BX57" s="14" t="s">
        <v>204</v>
      </c>
    </row>
    <row r="58">
      <c r="A58" s="140"/>
      <c r="B58" s="141" t="s">
        <v>131</v>
      </c>
      <c r="C58" s="142" t="s">
        <v>205</v>
      </c>
      <c r="D58" s="143"/>
      <c r="E58" s="143"/>
      <c r="F58" s="143"/>
      <c r="G58" s="144"/>
      <c r="H58" s="143"/>
      <c r="I58" s="143"/>
      <c r="J58" s="143"/>
      <c r="K58" s="145"/>
      <c r="BX58" s="142" t="s">
        <v>205</v>
      </c>
    </row>
    <row r="59">
      <c r="A59" s="9" t="s">
        <v>206</v>
      </c>
      <c r="B59" s="10" t="s">
        <v>207</v>
      </c>
      <c r="C59" s="14" t="s">
        <v>208</v>
      </c>
      <c r="D59" s="10"/>
      <c r="E59" s="10" t="s">
        <v>135</v>
      </c>
      <c r="F59" s="136" t="n">
        <v>850</v>
      </c>
      <c r="G59" s="137" t="n">
        <v>0</v>
      </c>
      <c r="H59" s="136">
        <f>F59*AO59</f>
      </c>
      <c r="I59" s="136">
        <f>F59*AP59</f>
      </c>
      <c r="J59" s="136">
        <f>F59*G59</f>
      </c>
      <c r="K59" s="138" t="s">
        <v>116</v>
      </c>
      <c r="Z59" s="136">
        <f>IF(AQ59="5",BJ59,0)</f>
      </c>
      <c r="AB59" s="136">
        <f>IF(AQ59="1",BH59,0)</f>
      </c>
      <c r="AC59" s="136">
        <f>IF(AQ59="1",BI59,0)</f>
      </c>
      <c r="AD59" s="136">
        <f>IF(AQ59="7",BH59,0)</f>
      </c>
      <c r="AE59" s="136">
        <f>IF(AQ59="7",BI59,0)</f>
      </c>
      <c r="AF59" s="136">
        <f>IF(AQ59="2",BH59,0)</f>
      </c>
      <c r="AG59" s="136">
        <f>IF(AQ59="2",BI59,0)</f>
      </c>
      <c r="AH59" s="136">
        <f>IF(AQ59="0",BJ59,0)</f>
      </c>
      <c r="AI59" s="112" t="s">
        <v>10</v>
      </c>
      <c r="AJ59" s="136">
        <f>IF(AN59=0,J59,0)</f>
      </c>
      <c r="AK59" s="136">
        <f>IF(AN59=12,J59,0)</f>
      </c>
      <c r="AL59" s="136">
        <f>IF(AN59=21,J59,0)</f>
      </c>
      <c r="AN59" s="136" t="n">
        <v>21</v>
      </c>
      <c r="AO59" s="136">
        <f>G59*0.02890238</f>
      </c>
      <c r="AP59" s="136">
        <f>G59*(1-0.02890238)</f>
      </c>
      <c r="AQ59" s="139" t="s">
        <v>112</v>
      </c>
      <c r="AV59" s="136">
        <f>AW59+AX59</f>
      </c>
      <c r="AW59" s="136">
        <f>F59*AO59</f>
      </c>
      <c r="AX59" s="136">
        <f>F59*AP59</f>
      </c>
      <c r="AY59" s="139" t="s">
        <v>201</v>
      </c>
      <c r="AZ59" s="139" t="s">
        <v>118</v>
      </c>
      <c r="BA59" s="112" t="s">
        <v>119</v>
      </c>
      <c r="BC59" s="136">
        <f>AW59+AX59</f>
      </c>
      <c r="BD59" s="136">
        <f>G59/(100-BE59)*100</f>
      </c>
      <c r="BE59" s="136" t="n">
        <v>0</v>
      </c>
      <c r="BF59" s="136">
        <f>59</f>
      </c>
      <c r="BH59" s="136">
        <f>F59*AO59</f>
      </c>
      <c r="BI59" s="136">
        <f>F59*AP59</f>
      </c>
      <c r="BJ59" s="136">
        <f>F59*G59</f>
      </c>
      <c r="BK59" s="136"/>
      <c r="BL59" s="136" t="n">
        <v>18</v>
      </c>
      <c r="BW59" s="136" t="n">
        <v>21</v>
      </c>
      <c r="BX59" s="14" t="s">
        <v>208</v>
      </c>
    </row>
    <row r="60" customHeight="true" ht="13.5">
      <c r="A60" s="140"/>
      <c r="B60" s="141" t="s">
        <v>209</v>
      </c>
      <c r="C60" s="142" t="s">
        <v>210</v>
      </c>
      <c r="D60" s="143"/>
      <c r="E60" s="143"/>
      <c r="F60" s="143"/>
      <c r="G60" s="144"/>
      <c r="H60" s="143"/>
      <c r="I60" s="143"/>
      <c r="J60" s="143"/>
      <c r="K60" s="145"/>
    </row>
    <row r="61">
      <c r="A61" s="9" t="s">
        <v>211</v>
      </c>
      <c r="B61" s="10" t="s">
        <v>212</v>
      </c>
      <c r="C61" s="14" t="s">
        <v>213</v>
      </c>
      <c r="D61" s="10"/>
      <c r="E61" s="10" t="s">
        <v>135</v>
      </c>
      <c r="F61" s="136" t="n">
        <v>850</v>
      </c>
      <c r="G61" s="137" t="n">
        <v>0</v>
      </c>
      <c r="H61" s="136">
        <f>F61*AO61</f>
      </c>
      <c r="I61" s="136">
        <f>F61*AP61</f>
      </c>
      <c r="J61" s="136">
        <f>F61*G61</f>
      </c>
      <c r="K61" s="138" t="s">
        <v>116</v>
      </c>
      <c r="Z61" s="136">
        <f>IF(AQ61="5",BJ61,0)</f>
      </c>
      <c r="AB61" s="136">
        <f>IF(AQ61="1",BH61,0)</f>
      </c>
      <c r="AC61" s="136">
        <f>IF(AQ61="1",BI61,0)</f>
      </c>
      <c r="AD61" s="136">
        <f>IF(AQ61="7",BH61,0)</f>
      </c>
      <c r="AE61" s="136">
        <f>IF(AQ61="7",BI61,0)</f>
      </c>
      <c r="AF61" s="136">
        <f>IF(AQ61="2",BH61,0)</f>
      </c>
      <c r="AG61" s="136">
        <f>IF(AQ61="2",BI61,0)</f>
      </c>
      <c r="AH61" s="136">
        <f>IF(AQ61="0",BJ61,0)</f>
      </c>
      <c r="AI61" s="112" t="s">
        <v>10</v>
      </c>
      <c r="AJ61" s="136">
        <f>IF(AN61=0,J61,0)</f>
      </c>
      <c r="AK61" s="136">
        <f>IF(AN61=12,J61,0)</f>
      </c>
      <c r="AL61" s="136">
        <f>IF(AN61=21,J61,0)</f>
      </c>
      <c r="AN61" s="136" t="n">
        <v>21</v>
      </c>
      <c r="AO61" s="136">
        <f>G61*0</f>
      </c>
      <c r="AP61" s="136">
        <f>G61*(1-0)</f>
      </c>
      <c r="AQ61" s="139" t="s">
        <v>112</v>
      </c>
      <c r="AV61" s="136">
        <f>AW61+AX61</f>
      </c>
      <c r="AW61" s="136">
        <f>F61*AO61</f>
      </c>
      <c r="AX61" s="136">
        <f>F61*AP61</f>
      </c>
      <c r="AY61" s="139" t="s">
        <v>201</v>
      </c>
      <c r="AZ61" s="139" t="s">
        <v>118</v>
      </c>
      <c r="BA61" s="112" t="s">
        <v>119</v>
      </c>
      <c r="BC61" s="136">
        <f>AW61+AX61</f>
      </c>
      <c r="BD61" s="136">
        <f>G61/(100-BE61)*100</f>
      </c>
      <c r="BE61" s="136" t="n">
        <v>0</v>
      </c>
      <c r="BF61" s="136">
        <f>61</f>
      </c>
      <c r="BH61" s="136">
        <f>F61*AO61</f>
      </c>
      <c r="BI61" s="136">
        <f>F61*AP61</f>
      </c>
      <c r="BJ61" s="136">
        <f>F61*G61</f>
      </c>
      <c r="BK61" s="136"/>
      <c r="BL61" s="136" t="n">
        <v>18</v>
      </c>
      <c r="BW61" s="136" t="n">
        <v>21</v>
      </c>
      <c r="BX61" s="14" t="s">
        <v>213</v>
      </c>
    </row>
    <row r="62">
      <c r="A62" s="9" t="s">
        <v>214</v>
      </c>
      <c r="B62" s="10" t="s">
        <v>215</v>
      </c>
      <c r="C62" s="14" t="s">
        <v>216</v>
      </c>
      <c r="D62" s="10"/>
      <c r="E62" s="10" t="s">
        <v>175</v>
      </c>
      <c r="F62" s="136" t="n">
        <v>52</v>
      </c>
      <c r="G62" s="137" t="n">
        <v>0</v>
      </c>
      <c r="H62" s="136">
        <f>F62*AO62</f>
      </c>
      <c r="I62" s="136">
        <f>F62*AP62</f>
      </c>
      <c r="J62" s="136">
        <f>F62*G62</f>
      </c>
      <c r="K62" s="138" t="s">
        <v>116</v>
      </c>
      <c r="Z62" s="136">
        <f>IF(AQ62="5",BJ62,0)</f>
      </c>
      <c r="AB62" s="136">
        <f>IF(AQ62="1",BH62,0)</f>
      </c>
      <c r="AC62" s="136">
        <f>IF(AQ62="1",BI62,0)</f>
      </c>
      <c r="AD62" s="136">
        <f>IF(AQ62="7",BH62,0)</f>
      </c>
      <c r="AE62" s="136">
        <f>IF(AQ62="7",BI62,0)</f>
      </c>
      <c r="AF62" s="136">
        <f>IF(AQ62="2",BH62,0)</f>
      </c>
      <c r="AG62" s="136">
        <f>IF(AQ62="2",BI62,0)</f>
      </c>
      <c r="AH62" s="136">
        <f>IF(AQ62="0",BJ62,0)</f>
      </c>
      <c r="AI62" s="112" t="s">
        <v>10</v>
      </c>
      <c r="AJ62" s="136">
        <f>IF(AN62=0,J62,0)</f>
      </c>
      <c r="AK62" s="136">
        <f>IF(AN62=12,J62,0)</f>
      </c>
      <c r="AL62" s="136">
        <f>IF(AN62=21,J62,0)</f>
      </c>
      <c r="AN62" s="136" t="n">
        <v>21</v>
      </c>
      <c r="AO62" s="136">
        <f>G62*0.304574468</f>
      </c>
      <c r="AP62" s="136">
        <f>G62*(1-0.304574468)</f>
      </c>
      <c r="AQ62" s="139" t="s">
        <v>112</v>
      </c>
      <c r="AV62" s="136">
        <f>AW62+AX62</f>
      </c>
      <c r="AW62" s="136">
        <f>F62*AO62</f>
      </c>
      <c r="AX62" s="136">
        <f>F62*AP62</f>
      </c>
      <c r="AY62" s="139" t="s">
        <v>201</v>
      </c>
      <c r="AZ62" s="139" t="s">
        <v>118</v>
      </c>
      <c r="BA62" s="112" t="s">
        <v>119</v>
      </c>
      <c r="BC62" s="136">
        <f>AW62+AX62</f>
      </c>
      <c r="BD62" s="136">
        <f>G62/(100-BE62)*100</f>
      </c>
      <c r="BE62" s="136" t="n">
        <v>0</v>
      </c>
      <c r="BF62" s="136">
        <f>62</f>
      </c>
      <c r="BH62" s="136">
        <f>F62*AO62</f>
      </c>
      <c r="BI62" s="136">
        <f>F62*AP62</f>
      </c>
      <c r="BJ62" s="136">
        <f>F62*G62</f>
      </c>
      <c r="BK62" s="136"/>
      <c r="BL62" s="136" t="n">
        <v>18</v>
      </c>
      <c r="BW62" s="136" t="n">
        <v>21</v>
      </c>
      <c r="BX62" s="14" t="s">
        <v>216</v>
      </c>
    </row>
    <row r="63">
      <c r="A63" s="130" t="s">
        <v>10</v>
      </c>
      <c r="B63" s="131" t="s">
        <v>184</v>
      </c>
      <c r="C63" s="132" t="s">
        <v>217</v>
      </c>
      <c r="D63" s="131"/>
      <c r="E63" s="133" t="s">
        <v>74</v>
      </c>
      <c r="F63" s="133" t="s">
        <v>74</v>
      </c>
      <c r="G63" s="134" t="s">
        <v>74</v>
      </c>
      <c r="H63" s="94">
        <f>SUM(H64:H68)</f>
      </c>
      <c r="I63" s="94">
        <f>SUM(I64:I68)</f>
      </c>
      <c r="J63" s="94">
        <f>SUM(J64:J68)</f>
      </c>
      <c r="K63" s="135" t="s">
        <v>10</v>
      </c>
      <c r="AI63" s="112" t="s">
        <v>10</v>
      </c>
      <c r="AS63" s="94">
        <f>SUM(AJ64:AJ68)</f>
      </c>
      <c r="AT63" s="94">
        <f>SUM(AK64:AK68)</f>
      </c>
      <c r="AU63" s="94">
        <f>SUM(AL64:AL68)</f>
      </c>
    </row>
    <row r="64">
      <c r="A64" s="9" t="s">
        <v>218</v>
      </c>
      <c r="B64" s="10" t="s">
        <v>219</v>
      </c>
      <c r="C64" s="14" t="s">
        <v>220</v>
      </c>
      <c r="D64" s="10"/>
      <c r="E64" s="10" t="s">
        <v>115</v>
      </c>
      <c r="F64" s="136" t="n">
        <v>460</v>
      </c>
      <c r="G64" s="137" t="n">
        <v>0</v>
      </c>
      <c r="H64" s="136">
        <f>F64*AO64</f>
      </c>
      <c r="I64" s="136">
        <f>F64*AP64</f>
      </c>
      <c r="J64" s="136">
        <f>F64*G64</f>
      </c>
      <c r="K64" s="138" t="s">
        <v>116</v>
      </c>
      <c r="Z64" s="136">
        <f>IF(AQ64="5",BJ64,0)</f>
      </c>
      <c r="AB64" s="136">
        <f>IF(AQ64="1",BH64,0)</f>
      </c>
      <c r="AC64" s="136">
        <f>IF(AQ64="1",BI64,0)</f>
      </c>
      <c r="AD64" s="136">
        <f>IF(AQ64="7",BH64,0)</f>
      </c>
      <c r="AE64" s="136">
        <f>IF(AQ64="7",BI64,0)</f>
      </c>
      <c r="AF64" s="136">
        <f>IF(AQ64="2",BH64,0)</f>
      </c>
      <c r="AG64" s="136">
        <f>IF(AQ64="2",BI64,0)</f>
      </c>
      <c r="AH64" s="136">
        <f>IF(AQ64="0",BJ64,0)</f>
      </c>
      <c r="AI64" s="112" t="s">
        <v>10</v>
      </c>
      <c r="AJ64" s="136">
        <f>IF(AN64=0,J64,0)</f>
      </c>
      <c r="AK64" s="136">
        <f>IF(AN64=12,J64,0)</f>
      </c>
      <c r="AL64" s="136">
        <f>IF(AN64=21,J64,0)</f>
      </c>
      <c r="AN64" s="136" t="n">
        <v>21</v>
      </c>
      <c r="AO64" s="136">
        <f>G64*0.475275958</f>
      </c>
      <c r="AP64" s="136">
        <f>G64*(1-0.475275958)</f>
      </c>
      <c r="AQ64" s="139" t="s">
        <v>112</v>
      </c>
      <c r="AV64" s="136">
        <f>AW64+AX64</f>
      </c>
      <c r="AW64" s="136">
        <f>F64*AO64</f>
      </c>
      <c r="AX64" s="136">
        <f>F64*AP64</f>
      </c>
      <c r="AY64" s="139" t="s">
        <v>221</v>
      </c>
      <c r="AZ64" s="139" t="s">
        <v>222</v>
      </c>
      <c r="BA64" s="112" t="s">
        <v>119</v>
      </c>
      <c r="BC64" s="136">
        <f>AW64+AX64</f>
      </c>
      <c r="BD64" s="136">
        <f>G64/(100-BE64)*100</f>
      </c>
      <c r="BE64" s="136" t="n">
        <v>0</v>
      </c>
      <c r="BF64" s="136">
        <f>64</f>
      </c>
      <c r="BH64" s="136">
        <f>F64*AO64</f>
      </c>
      <c r="BI64" s="136">
        <f>F64*AP64</f>
      </c>
      <c r="BJ64" s="136">
        <f>F64*G64</f>
      </c>
      <c r="BK64" s="136"/>
      <c r="BL64" s="136" t="n">
        <v>21</v>
      </c>
      <c r="BW64" s="136" t="n">
        <v>21</v>
      </c>
      <c r="BX64" s="14" t="s">
        <v>220</v>
      </c>
    </row>
    <row r="65" customHeight="true" ht="13.5">
      <c r="A65" s="140"/>
      <c r="B65" s="141" t="s">
        <v>209</v>
      </c>
      <c r="C65" s="142" t="s">
        <v>223</v>
      </c>
      <c r="D65" s="143"/>
      <c r="E65" s="143"/>
      <c r="F65" s="143"/>
      <c r="G65" s="144"/>
      <c r="H65" s="143"/>
      <c r="I65" s="143"/>
      <c r="J65" s="143"/>
      <c r="K65" s="145"/>
    </row>
    <row r="66">
      <c r="A66" s="9" t="s">
        <v>224</v>
      </c>
      <c r="B66" s="10" t="s">
        <v>225</v>
      </c>
      <c r="C66" s="14" t="s">
        <v>226</v>
      </c>
      <c r="D66" s="10"/>
      <c r="E66" s="10" t="s">
        <v>175</v>
      </c>
      <c r="F66" s="136" t="n">
        <v>18.4</v>
      </c>
      <c r="G66" s="137" t="n">
        <v>0</v>
      </c>
      <c r="H66" s="136">
        <f>F66*AO66</f>
      </c>
      <c r="I66" s="136">
        <f>F66*AP66</f>
      </c>
      <c r="J66" s="136">
        <f>F66*G66</f>
      </c>
      <c r="K66" s="138" t="s">
        <v>116</v>
      </c>
      <c r="Z66" s="136">
        <f>IF(AQ66="5",BJ66,0)</f>
      </c>
      <c r="AB66" s="136">
        <f>IF(AQ66="1",BH66,0)</f>
      </c>
      <c r="AC66" s="136">
        <f>IF(AQ66="1",BI66,0)</f>
      </c>
      <c r="AD66" s="136">
        <f>IF(AQ66="7",BH66,0)</f>
      </c>
      <c r="AE66" s="136">
        <f>IF(AQ66="7",BI66,0)</f>
      </c>
      <c r="AF66" s="136">
        <f>IF(AQ66="2",BH66,0)</f>
      </c>
      <c r="AG66" s="136">
        <f>IF(AQ66="2",BI66,0)</f>
      </c>
      <c r="AH66" s="136">
        <f>IF(AQ66="0",BJ66,0)</f>
      </c>
      <c r="AI66" s="112" t="s">
        <v>10</v>
      </c>
      <c r="AJ66" s="136">
        <f>IF(AN66=0,J66,0)</f>
      </c>
      <c r="AK66" s="136">
        <f>IF(AN66=12,J66,0)</f>
      </c>
      <c r="AL66" s="136">
        <f>IF(AN66=21,J66,0)</f>
      </c>
      <c r="AN66" s="136" t="n">
        <v>21</v>
      </c>
      <c r="AO66" s="136">
        <f>G66*0.749275132</f>
      </c>
      <c r="AP66" s="136">
        <f>G66*(1-0.749275132)</f>
      </c>
      <c r="AQ66" s="139" t="s">
        <v>112</v>
      </c>
      <c r="AV66" s="136">
        <f>AW66+AX66</f>
      </c>
      <c r="AW66" s="136">
        <f>F66*AO66</f>
      </c>
      <c r="AX66" s="136">
        <f>F66*AP66</f>
      </c>
      <c r="AY66" s="139" t="s">
        <v>221</v>
      </c>
      <c r="AZ66" s="139" t="s">
        <v>222</v>
      </c>
      <c r="BA66" s="112" t="s">
        <v>119</v>
      </c>
      <c r="BC66" s="136">
        <f>AW66+AX66</f>
      </c>
      <c r="BD66" s="136">
        <f>G66/(100-BE66)*100</f>
      </c>
      <c r="BE66" s="136" t="n">
        <v>0</v>
      </c>
      <c r="BF66" s="136">
        <f>66</f>
      </c>
      <c r="BH66" s="136">
        <f>F66*AO66</f>
      </c>
      <c r="BI66" s="136">
        <f>F66*AP66</f>
      </c>
      <c r="BJ66" s="136">
        <f>F66*G66</f>
      </c>
      <c r="BK66" s="136"/>
      <c r="BL66" s="136" t="n">
        <v>21</v>
      </c>
      <c r="BW66" s="136" t="n">
        <v>21</v>
      </c>
      <c r="BX66" s="14" t="s">
        <v>226</v>
      </c>
    </row>
    <row r="67">
      <c r="A67" s="9" t="s">
        <v>227</v>
      </c>
      <c r="B67" s="10" t="s">
        <v>228</v>
      </c>
      <c r="C67" s="14" t="s">
        <v>229</v>
      </c>
      <c r="D67" s="10"/>
      <c r="E67" s="10" t="s">
        <v>135</v>
      </c>
      <c r="F67" s="136" t="n">
        <v>644</v>
      </c>
      <c r="G67" s="137" t="n">
        <v>0</v>
      </c>
      <c r="H67" s="136">
        <f>F67*AO67</f>
      </c>
      <c r="I67" s="136">
        <f>F67*AP67</f>
      </c>
      <c r="J67" s="136">
        <f>F67*G67</f>
      </c>
      <c r="K67" s="138" t="s">
        <v>116</v>
      </c>
      <c r="Z67" s="136">
        <f>IF(AQ67="5",BJ67,0)</f>
      </c>
      <c r="AB67" s="136">
        <f>IF(AQ67="1",BH67,0)</f>
      </c>
      <c r="AC67" s="136">
        <f>IF(AQ67="1",BI67,0)</f>
      </c>
      <c r="AD67" s="136">
        <f>IF(AQ67="7",BH67,0)</f>
      </c>
      <c r="AE67" s="136">
        <f>IF(AQ67="7",BI67,0)</f>
      </c>
      <c r="AF67" s="136">
        <f>IF(AQ67="2",BH67,0)</f>
      </c>
      <c r="AG67" s="136">
        <f>IF(AQ67="2",BI67,0)</f>
      </c>
      <c r="AH67" s="136">
        <f>IF(AQ67="0",BJ67,0)</f>
      </c>
      <c r="AI67" s="112" t="s">
        <v>10</v>
      </c>
      <c r="AJ67" s="136">
        <f>IF(AN67=0,J67,0)</f>
      </c>
      <c r="AK67" s="136">
        <f>IF(AN67=12,J67,0)</f>
      </c>
      <c r="AL67" s="136">
        <f>IF(AN67=21,J67,0)</f>
      </c>
      <c r="AN67" s="136" t="n">
        <v>21</v>
      </c>
      <c r="AO67" s="136">
        <f>G67*0.131639242</f>
      </c>
      <c r="AP67" s="136">
        <f>G67*(1-0.131639242)</f>
      </c>
      <c r="AQ67" s="139" t="s">
        <v>112</v>
      </c>
      <c r="AV67" s="136">
        <f>AW67+AX67</f>
      </c>
      <c r="AW67" s="136">
        <f>F67*AO67</f>
      </c>
      <c r="AX67" s="136">
        <f>F67*AP67</f>
      </c>
      <c r="AY67" s="139" t="s">
        <v>221</v>
      </c>
      <c r="AZ67" s="139" t="s">
        <v>222</v>
      </c>
      <c r="BA67" s="112" t="s">
        <v>119</v>
      </c>
      <c r="BC67" s="136">
        <f>AW67+AX67</f>
      </c>
      <c r="BD67" s="136">
        <f>G67/(100-BE67)*100</f>
      </c>
      <c r="BE67" s="136" t="n">
        <v>0</v>
      </c>
      <c r="BF67" s="136">
        <f>67</f>
      </c>
      <c r="BH67" s="136">
        <f>F67*AO67</f>
      </c>
      <c r="BI67" s="136">
        <f>F67*AP67</f>
      </c>
      <c r="BJ67" s="136">
        <f>F67*G67</f>
      </c>
      <c r="BK67" s="136"/>
      <c r="BL67" s="136" t="n">
        <v>21</v>
      </c>
      <c r="BW67" s="136" t="n">
        <v>21</v>
      </c>
      <c r="BX67" s="14" t="s">
        <v>229</v>
      </c>
    </row>
    <row r="68">
      <c r="A68" s="9" t="s">
        <v>230</v>
      </c>
      <c r="B68" s="10" t="s">
        <v>231</v>
      </c>
      <c r="C68" s="14" t="s">
        <v>232</v>
      </c>
      <c r="D68" s="10"/>
      <c r="E68" s="10" t="s">
        <v>135</v>
      </c>
      <c r="F68" s="136" t="n">
        <v>708.4</v>
      </c>
      <c r="G68" s="137" t="n">
        <v>0</v>
      </c>
      <c r="H68" s="136">
        <f>F68*AO68</f>
      </c>
      <c r="I68" s="136">
        <f>F68*AP68</f>
      </c>
      <c r="J68" s="136">
        <f>F68*G68</f>
      </c>
      <c r="K68" s="138" t="s">
        <v>116</v>
      </c>
      <c r="Z68" s="136">
        <f>IF(AQ68="5",BJ68,0)</f>
      </c>
      <c r="AB68" s="136">
        <f>IF(AQ68="1",BH68,0)</f>
      </c>
      <c r="AC68" s="136">
        <f>IF(AQ68="1",BI68,0)</f>
      </c>
      <c r="AD68" s="136">
        <f>IF(AQ68="7",BH68,0)</f>
      </c>
      <c r="AE68" s="136">
        <f>IF(AQ68="7",BI68,0)</f>
      </c>
      <c r="AF68" s="136">
        <f>IF(AQ68="2",BH68,0)</f>
      </c>
      <c r="AG68" s="136">
        <f>IF(AQ68="2",BI68,0)</f>
      </c>
      <c r="AH68" s="136">
        <f>IF(AQ68="0",BJ68,0)</f>
      </c>
      <c r="AI68" s="112" t="s">
        <v>10</v>
      </c>
      <c r="AJ68" s="136">
        <f>IF(AN68=0,J68,0)</f>
      </c>
      <c r="AK68" s="136">
        <f>IF(AN68=12,J68,0)</f>
      </c>
      <c r="AL68" s="136">
        <f>IF(AN68=21,J68,0)</f>
      </c>
      <c r="AN68" s="136" t="n">
        <v>21</v>
      </c>
      <c r="AO68" s="136">
        <f>G68*1</f>
      </c>
      <c r="AP68" s="136">
        <f>G68*(1-1)</f>
      </c>
      <c r="AQ68" s="139" t="s">
        <v>112</v>
      </c>
      <c r="AV68" s="136">
        <f>AW68+AX68</f>
      </c>
      <c r="AW68" s="136">
        <f>F68*AO68</f>
      </c>
      <c r="AX68" s="136">
        <f>F68*AP68</f>
      </c>
      <c r="AY68" s="139" t="s">
        <v>221</v>
      </c>
      <c r="AZ68" s="139" t="s">
        <v>222</v>
      </c>
      <c r="BA68" s="112" t="s">
        <v>119</v>
      </c>
      <c r="BC68" s="136">
        <f>AW68+AX68</f>
      </c>
      <c r="BD68" s="136">
        <f>G68/(100-BE68)*100</f>
      </c>
      <c r="BE68" s="136" t="n">
        <v>0</v>
      </c>
      <c r="BF68" s="136">
        <f>68</f>
      </c>
      <c r="BH68" s="136">
        <f>F68*AO68</f>
      </c>
      <c r="BI68" s="136">
        <f>F68*AP68</f>
      </c>
      <c r="BJ68" s="136">
        <f>F68*G68</f>
      </c>
      <c r="BK68" s="136"/>
      <c r="BL68" s="136" t="n">
        <v>21</v>
      </c>
      <c r="BW68" s="136" t="n">
        <v>21</v>
      </c>
      <c r="BX68" s="14" t="s">
        <v>232</v>
      </c>
    </row>
    <row r="69" ht="36.75">
      <c r="A69" s="140"/>
      <c r="B69" s="141" t="s">
        <v>131</v>
      </c>
      <c r="C69" s="142" t="s">
        <v>233</v>
      </c>
      <c r="D69" s="143"/>
      <c r="E69" s="143"/>
      <c r="F69" s="143"/>
      <c r="G69" s="144"/>
      <c r="H69" s="143"/>
      <c r="I69" s="143"/>
      <c r="J69" s="143"/>
      <c r="K69" s="145"/>
      <c r="BX69" s="142" t="s">
        <v>233</v>
      </c>
    </row>
    <row r="70">
      <c r="A70" s="130" t="s">
        <v>10</v>
      </c>
      <c r="B70" s="131" t="s">
        <v>206</v>
      </c>
      <c r="C70" s="132" t="s">
        <v>234</v>
      </c>
      <c r="D70" s="131"/>
      <c r="E70" s="133" t="s">
        <v>74</v>
      </c>
      <c r="F70" s="133" t="s">
        <v>74</v>
      </c>
      <c r="G70" s="134" t="s">
        <v>74</v>
      </c>
      <c r="H70" s="94">
        <f>SUM(H71:H82)</f>
      </c>
      <c r="I70" s="94">
        <f>SUM(I71:I82)</f>
      </c>
      <c r="J70" s="94">
        <f>SUM(J71:J82)</f>
      </c>
      <c r="K70" s="135" t="s">
        <v>10</v>
      </c>
      <c r="AI70" s="112" t="s">
        <v>10</v>
      </c>
      <c r="AS70" s="94">
        <f>SUM(AJ71:AJ82)</f>
      </c>
      <c r="AT70" s="94">
        <f>SUM(AK71:AK82)</f>
      </c>
      <c r="AU70" s="94">
        <f>SUM(AL71:AL82)</f>
      </c>
    </row>
    <row r="71">
      <c r="A71" s="9" t="s">
        <v>235</v>
      </c>
      <c r="B71" s="10" t="s">
        <v>236</v>
      </c>
      <c r="C71" s="14" t="s">
        <v>237</v>
      </c>
      <c r="D71" s="10"/>
      <c r="E71" s="10" t="s">
        <v>175</v>
      </c>
      <c r="F71" s="136" t="n">
        <v>6.5</v>
      </c>
      <c r="G71" s="137" t="n">
        <v>0</v>
      </c>
      <c r="H71" s="136">
        <f>F71*AO71</f>
      </c>
      <c r="I71" s="136">
        <f>F71*AP71</f>
      </c>
      <c r="J71" s="136">
        <f>F71*G71</f>
      </c>
      <c r="K71" s="138" t="s">
        <v>116</v>
      </c>
      <c r="Z71" s="136">
        <f>IF(AQ71="5",BJ71,0)</f>
      </c>
      <c r="AB71" s="136">
        <f>IF(AQ71="1",BH71,0)</f>
      </c>
      <c r="AC71" s="136">
        <f>IF(AQ71="1",BI71,0)</f>
      </c>
      <c r="AD71" s="136">
        <f>IF(AQ71="7",BH71,0)</f>
      </c>
      <c r="AE71" s="136">
        <f>IF(AQ71="7",BI71,0)</f>
      </c>
      <c r="AF71" s="136">
        <f>IF(AQ71="2",BH71,0)</f>
      </c>
      <c r="AG71" s="136">
        <f>IF(AQ71="2",BI71,0)</f>
      </c>
      <c r="AH71" s="136">
        <f>IF(AQ71="0",BJ71,0)</f>
      </c>
      <c r="AI71" s="112" t="s">
        <v>10</v>
      </c>
      <c r="AJ71" s="136">
        <f>IF(AN71=0,J71,0)</f>
      </c>
      <c r="AK71" s="136">
        <f>IF(AN71=12,J71,0)</f>
      </c>
      <c r="AL71" s="136">
        <f>IF(AN71=21,J71,0)</f>
      </c>
      <c r="AN71" s="136" t="n">
        <v>21</v>
      </c>
      <c r="AO71" s="136">
        <f>G71*0.920469163</f>
      </c>
      <c r="AP71" s="136">
        <f>G71*(1-0.920469163)</f>
      </c>
      <c r="AQ71" s="139" t="s">
        <v>112</v>
      </c>
      <c r="AV71" s="136">
        <f>AW71+AX71</f>
      </c>
      <c r="AW71" s="136">
        <f>F71*AO71</f>
      </c>
      <c r="AX71" s="136">
        <f>F71*AP71</f>
      </c>
      <c r="AY71" s="139" t="s">
        <v>238</v>
      </c>
      <c r="AZ71" s="139" t="s">
        <v>222</v>
      </c>
      <c r="BA71" s="112" t="s">
        <v>119</v>
      </c>
      <c r="BC71" s="136">
        <f>AW71+AX71</f>
      </c>
      <c r="BD71" s="136">
        <f>G71/(100-BE71)*100</f>
      </c>
      <c r="BE71" s="136" t="n">
        <v>0</v>
      </c>
      <c r="BF71" s="136">
        <f>71</f>
      </c>
      <c r="BH71" s="136">
        <f>F71*AO71</f>
      </c>
      <c r="BI71" s="136">
        <f>F71*AP71</f>
      </c>
      <c r="BJ71" s="136">
        <f>F71*G71</f>
      </c>
      <c r="BK71" s="136"/>
      <c r="BL71" s="136" t="n">
        <v>27</v>
      </c>
      <c r="BW71" s="136" t="n">
        <v>21</v>
      </c>
      <c r="BX71" s="14" t="s">
        <v>237</v>
      </c>
    </row>
    <row r="72">
      <c r="A72" s="140"/>
      <c r="B72" s="141" t="s">
        <v>131</v>
      </c>
      <c r="C72" s="142" t="s">
        <v>239</v>
      </c>
      <c r="D72" s="143"/>
      <c r="E72" s="143"/>
      <c r="F72" s="143"/>
      <c r="G72" s="144"/>
      <c r="H72" s="143"/>
      <c r="I72" s="143"/>
      <c r="J72" s="143"/>
      <c r="K72" s="145"/>
      <c r="BX72" s="142" t="s">
        <v>239</v>
      </c>
    </row>
    <row r="73">
      <c r="A73" s="9" t="s">
        <v>240</v>
      </c>
      <c r="B73" s="10" t="s">
        <v>241</v>
      </c>
      <c r="C73" s="14" t="s">
        <v>242</v>
      </c>
      <c r="D73" s="10"/>
      <c r="E73" s="10" t="s">
        <v>135</v>
      </c>
      <c r="F73" s="136" t="n">
        <v>7.5</v>
      </c>
      <c r="G73" s="137" t="n">
        <v>0</v>
      </c>
      <c r="H73" s="136">
        <f>F73*AO73</f>
      </c>
      <c r="I73" s="136">
        <f>F73*AP73</f>
      </c>
      <c r="J73" s="136">
        <f>F73*G73</f>
      </c>
      <c r="K73" s="138" t="s">
        <v>116</v>
      </c>
      <c r="Z73" s="136">
        <f>IF(AQ73="5",BJ73,0)</f>
      </c>
      <c r="AB73" s="136">
        <f>IF(AQ73="1",BH73,0)</f>
      </c>
      <c r="AC73" s="136">
        <f>IF(AQ73="1",BI73,0)</f>
      </c>
      <c r="AD73" s="136">
        <f>IF(AQ73="7",BH73,0)</f>
      </c>
      <c r="AE73" s="136">
        <f>IF(AQ73="7",BI73,0)</f>
      </c>
      <c r="AF73" s="136">
        <f>IF(AQ73="2",BH73,0)</f>
      </c>
      <c r="AG73" s="136">
        <f>IF(AQ73="2",BI73,0)</f>
      </c>
      <c r="AH73" s="136">
        <f>IF(AQ73="0",BJ73,0)</f>
      </c>
      <c r="AI73" s="112" t="s">
        <v>10</v>
      </c>
      <c r="AJ73" s="136">
        <f>IF(AN73=0,J73,0)</f>
      </c>
      <c r="AK73" s="136">
        <f>IF(AN73=12,J73,0)</f>
      </c>
      <c r="AL73" s="136">
        <f>IF(AN73=21,J73,0)</f>
      </c>
      <c r="AN73" s="136" t="n">
        <v>21</v>
      </c>
      <c r="AO73" s="136">
        <f>G73*0.628437917</f>
      </c>
      <c r="AP73" s="136">
        <f>G73*(1-0.628437917)</f>
      </c>
      <c r="AQ73" s="139" t="s">
        <v>112</v>
      </c>
      <c r="AV73" s="136">
        <f>AW73+AX73</f>
      </c>
      <c r="AW73" s="136">
        <f>F73*AO73</f>
      </c>
      <c r="AX73" s="136">
        <f>F73*AP73</f>
      </c>
      <c r="AY73" s="139" t="s">
        <v>238</v>
      </c>
      <c r="AZ73" s="139" t="s">
        <v>222</v>
      </c>
      <c r="BA73" s="112" t="s">
        <v>119</v>
      </c>
      <c r="BC73" s="136">
        <f>AW73+AX73</f>
      </c>
      <c r="BD73" s="136">
        <f>G73/(100-BE73)*100</f>
      </c>
      <c r="BE73" s="136" t="n">
        <v>0</v>
      </c>
      <c r="BF73" s="136">
        <f>73</f>
      </c>
      <c r="BH73" s="136">
        <f>F73*AO73</f>
      </c>
      <c r="BI73" s="136">
        <f>F73*AP73</f>
      </c>
      <c r="BJ73" s="136">
        <f>F73*G73</f>
      </c>
      <c r="BK73" s="136"/>
      <c r="BL73" s="136" t="n">
        <v>27</v>
      </c>
      <c r="BW73" s="136" t="n">
        <v>21</v>
      </c>
      <c r="BX73" s="14" t="s">
        <v>242</v>
      </c>
    </row>
    <row r="74" customHeight="true" ht="13.5">
      <c r="A74" s="140"/>
      <c r="B74" s="141" t="s">
        <v>209</v>
      </c>
      <c r="C74" s="142" t="s">
        <v>243</v>
      </c>
      <c r="D74" s="143"/>
      <c r="E74" s="143"/>
      <c r="F74" s="143"/>
      <c r="G74" s="144"/>
      <c r="H74" s="143"/>
      <c r="I74" s="143"/>
      <c r="J74" s="143"/>
      <c r="K74" s="145"/>
    </row>
    <row r="75">
      <c r="A75" s="9" t="s">
        <v>244</v>
      </c>
      <c r="B75" s="10" t="s">
        <v>245</v>
      </c>
      <c r="C75" s="14" t="s">
        <v>246</v>
      </c>
      <c r="D75" s="10"/>
      <c r="E75" s="10" t="s">
        <v>135</v>
      </c>
      <c r="F75" s="136" t="n">
        <v>7.5</v>
      </c>
      <c r="G75" s="137" t="n">
        <v>0</v>
      </c>
      <c r="H75" s="136">
        <f>F75*AO75</f>
      </c>
      <c r="I75" s="136">
        <f>F75*AP75</f>
      </c>
      <c r="J75" s="136">
        <f>F75*G75</f>
      </c>
      <c r="K75" s="138" t="s">
        <v>116</v>
      </c>
      <c r="Z75" s="136">
        <f>IF(AQ75="5",BJ75,0)</f>
      </c>
      <c r="AB75" s="136">
        <f>IF(AQ75="1",BH75,0)</f>
      </c>
      <c r="AC75" s="136">
        <f>IF(AQ75="1",BI75,0)</f>
      </c>
      <c r="AD75" s="136">
        <f>IF(AQ75="7",BH75,0)</f>
      </c>
      <c r="AE75" s="136">
        <f>IF(AQ75="7",BI75,0)</f>
      </c>
      <c r="AF75" s="136">
        <f>IF(AQ75="2",BH75,0)</f>
      </c>
      <c r="AG75" s="136">
        <f>IF(AQ75="2",BI75,0)</f>
      </c>
      <c r="AH75" s="136">
        <f>IF(AQ75="0",BJ75,0)</f>
      </c>
      <c r="AI75" s="112" t="s">
        <v>10</v>
      </c>
      <c r="AJ75" s="136">
        <f>IF(AN75=0,J75,0)</f>
      </c>
      <c r="AK75" s="136">
        <f>IF(AN75=12,J75,0)</f>
      </c>
      <c r="AL75" s="136">
        <f>IF(AN75=21,J75,0)</f>
      </c>
      <c r="AN75" s="136" t="n">
        <v>21</v>
      </c>
      <c r="AO75" s="136">
        <f>G75*0</f>
      </c>
      <c r="AP75" s="136">
        <f>G75*(1-0)</f>
      </c>
      <c r="AQ75" s="139" t="s">
        <v>112</v>
      </c>
      <c r="AV75" s="136">
        <f>AW75+AX75</f>
      </c>
      <c r="AW75" s="136">
        <f>F75*AO75</f>
      </c>
      <c r="AX75" s="136">
        <f>F75*AP75</f>
      </c>
      <c r="AY75" s="139" t="s">
        <v>238</v>
      </c>
      <c r="AZ75" s="139" t="s">
        <v>222</v>
      </c>
      <c r="BA75" s="112" t="s">
        <v>119</v>
      </c>
      <c r="BC75" s="136">
        <f>AW75+AX75</f>
      </c>
      <c r="BD75" s="136">
        <f>G75/(100-BE75)*100</f>
      </c>
      <c r="BE75" s="136" t="n">
        <v>0</v>
      </c>
      <c r="BF75" s="136">
        <f>75</f>
      </c>
      <c r="BH75" s="136">
        <f>F75*AO75</f>
      </c>
      <c r="BI75" s="136">
        <f>F75*AP75</f>
      </c>
      <c r="BJ75" s="136">
        <f>F75*G75</f>
      </c>
      <c r="BK75" s="136"/>
      <c r="BL75" s="136" t="n">
        <v>27</v>
      </c>
      <c r="BW75" s="136" t="n">
        <v>21</v>
      </c>
      <c r="BX75" s="14" t="s">
        <v>246</v>
      </c>
    </row>
    <row r="76">
      <c r="A76" s="9" t="s">
        <v>247</v>
      </c>
      <c r="B76" s="10" t="s">
        <v>248</v>
      </c>
      <c r="C76" s="14" t="s">
        <v>249</v>
      </c>
      <c r="D76" s="10"/>
      <c r="E76" s="10" t="s">
        <v>135</v>
      </c>
      <c r="F76" s="136" t="n">
        <v>26</v>
      </c>
      <c r="G76" s="137" t="n">
        <v>0</v>
      </c>
      <c r="H76" s="136">
        <f>F76*AO76</f>
      </c>
      <c r="I76" s="136">
        <f>F76*AP76</f>
      </c>
      <c r="J76" s="136">
        <f>F76*G76</f>
      </c>
      <c r="K76" s="138" t="s">
        <v>116</v>
      </c>
      <c r="Z76" s="136">
        <f>IF(AQ76="5",BJ76,0)</f>
      </c>
      <c r="AB76" s="136">
        <f>IF(AQ76="1",BH76,0)</f>
      </c>
      <c r="AC76" s="136">
        <f>IF(AQ76="1",BI76,0)</f>
      </c>
      <c r="AD76" s="136">
        <f>IF(AQ76="7",BH76,0)</f>
      </c>
      <c r="AE76" s="136">
        <f>IF(AQ76="7",BI76,0)</f>
      </c>
      <c r="AF76" s="136">
        <f>IF(AQ76="2",BH76,0)</f>
      </c>
      <c r="AG76" s="136">
        <f>IF(AQ76="2",BI76,0)</f>
      </c>
      <c r="AH76" s="136">
        <f>IF(AQ76="0",BJ76,0)</f>
      </c>
      <c r="AI76" s="112" t="s">
        <v>10</v>
      </c>
      <c r="AJ76" s="136">
        <f>IF(AN76=0,J76,0)</f>
      </c>
      <c r="AK76" s="136">
        <f>IF(AN76=12,J76,0)</f>
      </c>
      <c r="AL76" s="136">
        <f>IF(AN76=21,J76,0)</f>
      </c>
      <c r="AN76" s="136" t="n">
        <v>21</v>
      </c>
      <c r="AO76" s="136">
        <f>G76*0.490432946</f>
      </c>
      <c r="AP76" s="136">
        <f>G76*(1-0.490432946)</f>
      </c>
      <c r="AQ76" s="139" t="s">
        <v>112</v>
      </c>
      <c r="AV76" s="136">
        <f>AW76+AX76</f>
      </c>
      <c r="AW76" s="136">
        <f>F76*AO76</f>
      </c>
      <c r="AX76" s="136">
        <f>F76*AP76</f>
      </c>
      <c r="AY76" s="139" t="s">
        <v>238</v>
      </c>
      <c r="AZ76" s="139" t="s">
        <v>222</v>
      </c>
      <c r="BA76" s="112" t="s">
        <v>119</v>
      </c>
      <c r="BC76" s="136">
        <f>AW76+AX76</f>
      </c>
      <c r="BD76" s="136">
        <f>G76/(100-BE76)*100</f>
      </c>
      <c r="BE76" s="136" t="n">
        <v>0</v>
      </c>
      <c r="BF76" s="136">
        <f>76</f>
      </c>
      <c r="BH76" s="136">
        <f>F76*AO76</f>
      </c>
      <c r="BI76" s="136">
        <f>F76*AP76</f>
      </c>
      <c r="BJ76" s="136">
        <f>F76*G76</f>
      </c>
      <c r="BK76" s="136"/>
      <c r="BL76" s="136" t="n">
        <v>27</v>
      </c>
      <c r="BW76" s="136" t="n">
        <v>21</v>
      </c>
      <c r="BX76" s="14" t="s">
        <v>249</v>
      </c>
    </row>
    <row r="77">
      <c r="A77" s="9" t="s">
        <v>250</v>
      </c>
      <c r="B77" s="10" t="s">
        <v>251</v>
      </c>
      <c r="C77" s="14" t="s">
        <v>252</v>
      </c>
      <c r="D77" s="10"/>
      <c r="E77" s="10" t="s">
        <v>135</v>
      </c>
      <c r="F77" s="136" t="n">
        <v>26</v>
      </c>
      <c r="G77" s="137" t="n">
        <v>0</v>
      </c>
      <c r="H77" s="136">
        <f>F77*AO77</f>
      </c>
      <c r="I77" s="136">
        <f>F77*AP77</f>
      </c>
      <c r="J77" s="136">
        <f>F77*G77</f>
      </c>
      <c r="K77" s="138" t="s">
        <v>116</v>
      </c>
      <c r="Z77" s="136">
        <f>IF(AQ77="5",BJ77,0)</f>
      </c>
      <c r="AB77" s="136">
        <f>IF(AQ77="1",BH77,0)</f>
      </c>
      <c r="AC77" s="136">
        <f>IF(AQ77="1",BI77,0)</f>
      </c>
      <c r="AD77" s="136">
        <f>IF(AQ77="7",BH77,0)</f>
      </c>
      <c r="AE77" s="136">
        <f>IF(AQ77="7",BI77,0)</f>
      </c>
      <c r="AF77" s="136">
        <f>IF(AQ77="2",BH77,0)</f>
      </c>
      <c r="AG77" s="136">
        <f>IF(AQ77="2",BI77,0)</f>
      </c>
      <c r="AH77" s="136">
        <f>IF(AQ77="0",BJ77,0)</f>
      </c>
      <c r="AI77" s="112" t="s">
        <v>10</v>
      </c>
      <c r="AJ77" s="136">
        <f>IF(AN77=0,J77,0)</f>
      </c>
      <c r="AK77" s="136">
        <f>IF(AN77=12,J77,0)</f>
      </c>
      <c r="AL77" s="136">
        <f>IF(AN77=21,J77,0)</f>
      </c>
      <c r="AN77" s="136" t="n">
        <v>21</v>
      </c>
      <c r="AO77" s="136">
        <f>G77*0</f>
      </c>
      <c r="AP77" s="136">
        <f>G77*(1-0)</f>
      </c>
      <c r="AQ77" s="139" t="s">
        <v>112</v>
      </c>
      <c r="AV77" s="136">
        <f>AW77+AX77</f>
      </c>
      <c r="AW77" s="136">
        <f>F77*AO77</f>
      </c>
      <c r="AX77" s="136">
        <f>F77*AP77</f>
      </c>
      <c r="AY77" s="139" t="s">
        <v>238</v>
      </c>
      <c r="AZ77" s="139" t="s">
        <v>222</v>
      </c>
      <c r="BA77" s="112" t="s">
        <v>119</v>
      </c>
      <c r="BC77" s="136">
        <f>AW77+AX77</f>
      </c>
      <c r="BD77" s="136">
        <f>G77/(100-BE77)*100</f>
      </c>
      <c r="BE77" s="136" t="n">
        <v>0</v>
      </c>
      <c r="BF77" s="136">
        <f>77</f>
      </c>
      <c r="BH77" s="136">
        <f>F77*AO77</f>
      </c>
      <c r="BI77" s="136">
        <f>F77*AP77</f>
      </c>
      <c r="BJ77" s="136">
        <f>F77*G77</f>
      </c>
      <c r="BK77" s="136"/>
      <c r="BL77" s="136" t="n">
        <v>27</v>
      </c>
      <c r="BW77" s="136" t="n">
        <v>21</v>
      </c>
      <c r="BX77" s="14" t="s">
        <v>252</v>
      </c>
    </row>
    <row r="78">
      <c r="A78" s="9" t="s">
        <v>253</v>
      </c>
      <c r="B78" s="10" t="s">
        <v>254</v>
      </c>
      <c r="C78" s="14" t="s">
        <v>255</v>
      </c>
      <c r="D78" s="10"/>
      <c r="E78" s="10" t="s">
        <v>129</v>
      </c>
      <c r="F78" s="136" t="n">
        <v>1.10822</v>
      </c>
      <c r="G78" s="137" t="n">
        <v>0</v>
      </c>
      <c r="H78" s="136">
        <f>F78*AO78</f>
      </c>
      <c r="I78" s="136">
        <f>F78*AP78</f>
      </c>
      <c r="J78" s="136">
        <f>F78*G78</f>
      </c>
      <c r="K78" s="138" t="s">
        <v>116</v>
      </c>
      <c r="Z78" s="136">
        <f>IF(AQ78="5",BJ78,0)</f>
      </c>
      <c r="AB78" s="136">
        <f>IF(AQ78="1",BH78,0)</f>
      </c>
      <c r="AC78" s="136">
        <f>IF(AQ78="1",BI78,0)</f>
      </c>
      <c r="AD78" s="136">
        <f>IF(AQ78="7",BH78,0)</f>
      </c>
      <c r="AE78" s="136">
        <f>IF(AQ78="7",BI78,0)</f>
      </c>
      <c r="AF78" s="136">
        <f>IF(AQ78="2",BH78,0)</f>
      </c>
      <c r="AG78" s="136">
        <f>IF(AQ78="2",BI78,0)</f>
      </c>
      <c r="AH78" s="136">
        <f>IF(AQ78="0",BJ78,0)</f>
      </c>
      <c r="AI78" s="112" t="s">
        <v>10</v>
      </c>
      <c r="AJ78" s="136">
        <f>IF(AN78=0,J78,0)</f>
      </c>
      <c r="AK78" s="136">
        <f>IF(AN78=12,J78,0)</f>
      </c>
      <c r="AL78" s="136">
        <f>IF(AN78=21,J78,0)</f>
      </c>
      <c r="AN78" s="136" t="n">
        <v>21</v>
      </c>
      <c r="AO78" s="136">
        <f>G78*0.592713548</f>
      </c>
      <c r="AP78" s="136">
        <f>G78*(1-0.592713548)</f>
      </c>
      <c r="AQ78" s="139" t="s">
        <v>112</v>
      </c>
      <c r="AV78" s="136">
        <f>AW78+AX78</f>
      </c>
      <c r="AW78" s="136">
        <f>F78*AO78</f>
      </c>
      <c r="AX78" s="136">
        <f>F78*AP78</f>
      </c>
      <c r="AY78" s="139" t="s">
        <v>238</v>
      </c>
      <c r="AZ78" s="139" t="s">
        <v>222</v>
      </c>
      <c r="BA78" s="112" t="s">
        <v>119</v>
      </c>
      <c r="BC78" s="136">
        <f>AW78+AX78</f>
      </c>
      <c r="BD78" s="136">
        <f>G78/(100-BE78)*100</f>
      </c>
      <c r="BE78" s="136" t="n">
        <v>0</v>
      </c>
      <c r="BF78" s="136">
        <f>78</f>
      </c>
      <c r="BH78" s="136">
        <f>F78*AO78</f>
      </c>
      <c r="BI78" s="136">
        <f>F78*AP78</f>
      </c>
      <c r="BJ78" s="136">
        <f>F78*G78</f>
      </c>
      <c r="BK78" s="136"/>
      <c r="BL78" s="136" t="n">
        <v>27</v>
      </c>
      <c r="BW78" s="136" t="n">
        <v>21</v>
      </c>
      <c r="BX78" s="14" t="s">
        <v>255</v>
      </c>
    </row>
    <row r="79">
      <c r="A79" s="9" t="s">
        <v>256</v>
      </c>
      <c r="B79" s="10" t="s">
        <v>257</v>
      </c>
      <c r="C79" s="14" t="s">
        <v>258</v>
      </c>
      <c r="D79" s="10"/>
      <c r="E79" s="10" t="s">
        <v>135</v>
      </c>
      <c r="F79" s="136" t="n">
        <v>33.5</v>
      </c>
      <c r="G79" s="137" t="n">
        <v>0</v>
      </c>
      <c r="H79" s="136">
        <f>F79*AO79</f>
      </c>
      <c r="I79" s="136">
        <f>F79*AP79</f>
      </c>
      <c r="J79" s="136">
        <f>F79*G79</f>
      </c>
      <c r="K79" s="138" t="s">
        <v>116</v>
      </c>
      <c r="Z79" s="136">
        <f>IF(AQ79="5",BJ79,0)</f>
      </c>
      <c r="AB79" s="136">
        <f>IF(AQ79="1",BH79,0)</f>
      </c>
      <c r="AC79" s="136">
        <f>IF(AQ79="1",BI79,0)</f>
      </c>
      <c r="AD79" s="136">
        <f>IF(AQ79="7",BH79,0)</f>
      </c>
      <c r="AE79" s="136">
        <f>IF(AQ79="7",BI79,0)</f>
      </c>
      <c r="AF79" s="136">
        <f>IF(AQ79="2",BH79,0)</f>
      </c>
      <c r="AG79" s="136">
        <f>IF(AQ79="2",BI79,0)</f>
      </c>
      <c r="AH79" s="136">
        <f>IF(AQ79="0",BJ79,0)</f>
      </c>
      <c r="AI79" s="112" t="s">
        <v>10</v>
      </c>
      <c r="AJ79" s="136">
        <f>IF(AN79=0,J79,0)</f>
      </c>
      <c r="AK79" s="136">
        <f>IF(AN79=12,J79,0)</f>
      </c>
      <c r="AL79" s="136">
        <f>IF(AN79=21,J79,0)</f>
      </c>
      <c r="AN79" s="136" t="n">
        <v>21</v>
      </c>
      <c r="AO79" s="136">
        <f>G79*0.730405771</f>
      </c>
      <c r="AP79" s="136">
        <f>G79*(1-0.730405771)</f>
      </c>
      <c r="AQ79" s="139" t="s">
        <v>112</v>
      </c>
      <c r="AV79" s="136">
        <f>AW79+AX79</f>
      </c>
      <c r="AW79" s="136">
        <f>F79*AO79</f>
      </c>
      <c r="AX79" s="136">
        <f>F79*AP79</f>
      </c>
      <c r="AY79" s="139" t="s">
        <v>238</v>
      </c>
      <c r="AZ79" s="139" t="s">
        <v>222</v>
      </c>
      <c r="BA79" s="112" t="s">
        <v>119</v>
      </c>
      <c r="BC79" s="136">
        <f>AW79+AX79</f>
      </c>
      <c r="BD79" s="136">
        <f>G79/(100-BE79)*100</f>
      </c>
      <c r="BE79" s="136" t="n">
        <v>0</v>
      </c>
      <c r="BF79" s="136">
        <f>79</f>
      </c>
      <c r="BH79" s="136">
        <f>F79*AO79</f>
      </c>
      <c r="BI79" s="136">
        <f>F79*AP79</f>
      </c>
      <c r="BJ79" s="136">
        <f>F79*G79</f>
      </c>
      <c r="BK79" s="136"/>
      <c r="BL79" s="136" t="n">
        <v>27</v>
      </c>
      <c r="BW79" s="136" t="n">
        <v>21</v>
      </c>
      <c r="BX79" s="14" t="s">
        <v>258</v>
      </c>
    </row>
    <row r="80" customHeight="true" ht="13.5">
      <c r="A80" s="140"/>
      <c r="B80" s="141" t="s">
        <v>209</v>
      </c>
      <c r="C80" s="142" t="s">
        <v>259</v>
      </c>
      <c r="D80" s="143"/>
      <c r="E80" s="143"/>
      <c r="F80" s="143"/>
      <c r="G80" s="144"/>
      <c r="H80" s="143"/>
      <c r="I80" s="143"/>
      <c r="J80" s="143"/>
      <c r="K80" s="145"/>
    </row>
    <row r="81">
      <c r="A81" s="140"/>
      <c r="B81" s="141" t="s">
        <v>131</v>
      </c>
      <c r="C81" s="142" t="s">
        <v>260</v>
      </c>
      <c r="D81" s="143"/>
      <c r="E81" s="143"/>
      <c r="F81" s="143"/>
      <c r="G81" s="144"/>
      <c r="H81" s="143"/>
      <c r="I81" s="143"/>
      <c r="J81" s="143"/>
      <c r="K81" s="145"/>
      <c r="BX81" s="142" t="s">
        <v>260</v>
      </c>
    </row>
    <row r="82">
      <c r="A82" s="9" t="s">
        <v>261</v>
      </c>
      <c r="B82" s="10" t="s">
        <v>262</v>
      </c>
      <c r="C82" s="14" t="s">
        <v>263</v>
      </c>
      <c r="D82" s="10"/>
      <c r="E82" s="10" t="s">
        <v>135</v>
      </c>
      <c r="F82" s="136" t="n">
        <v>26</v>
      </c>
      <c r="G82" s="137" t="n">
        <v>0</v>
      </c>
      <c r="H82" s="136">
        <f>F82*AO82</f>
      </c>
      <c r="I82" s="136">
        <f>F82*AP82</f>
      </c>
      <c r="J82" s="136">
        <f>F82*G82</f>
      </c>
      <c r="K82" s="138" t="s">
        <v>116</v>
      </c>
      <c r="Z82" s="136">
        <f>IF(AQ82="5",BJ82,0)</f>
      </c>
      <c r="AB82" s="136">
        <f>IF(AQ82="1",BH82,0)</f>
      </c>
      <c r="AC82" s="136">
        <f>IF(AQ82="1",BI82,0)</f>
      </c>
      <c r="AD82" s="136">
        <f>IF(AQ82="7",BH82,0)</f>
      </c>
      <c r="AE82" s="136">
        <f>IF(AQ82="7",BI82,0)</f>
      </c>
      <c r="AF82" s="136">
        <f>IF(AQ82="2",BH82,0)</f>
      </c>
      <c r="AG82" s="136">
        <f>IF(AQ82="2",BI82,0)</f>
      </c>
      <c r="AH82" s="136">
        <f>IF(AQ82="0",BJ82,0)</f>
      </c>
      <c r="AI82" s="112" t="s">
        <v>10</v>
      </c>
      <c r="AJ82" s="136">
        <f>IF(AN82=0,J82,0)</f>
      </c>
      <c r="AK82" s="136">
        <f>IF(AN82=12,J82,0)</f>
      </c>
      <c r="AL82" s="136">
        <f>IF(AN82=21,J82,0)</f>
      </c>
      <c r="AN82" s="136" t="n">
        <v>21</v>
      </c>
      <c r="AO82" s="136">
        <f>G82*0.41192407</f>
      </c>
      <c r="AP82" s="136">
        <f>G82*(1-0.41192407)</f>
      </c>
      <c r="AQ82" s="139" t="s">
        <v>112</v>
      </c>
      <c r="AV82" s="136">
        <f>AW82+AX82</f>
      </c>
      <c r="AW82" s="136">
        <f>F82*AO82</f>
      </c>
      <c r="AX82" s="136">
        <f>F82*AP82</f>
      </c>
      <c r="AY82" s="139" t="s">
        <v>238</v>
      </c>
      <c r="AZ82" s="139" t="s">
        <v>222</v>
      </c>
      <c r="BA82" s="112" t="s">
        <v>119</v>
      </c>
      <c r="BC82" s="136">
        <f>AW82+AX82</f>
      </c>
      <c r="BD82" s="136">
        <f>G82/(100-BE82)*100</f>
      </c>
      <c r="BE82" s="136" t="n">
        <v>0</v>
      </c>
      <c r="BF82" s="136">
        <f>82</f>
      </c>
      <c r="BH82" s="136">
        <f>F82*AO82</f>
      </c>
      <c r="BI82" s="136">
        <f>F82*AP82</f>
      </c>
      <c r="BJ82" s="136">
        <f>F82*G82</f>
      </c>
      <c r="BK82" s="136"/>
      <c r="BL82" s="136" t="n">
        <v>27</v>
      </c>
      <c r="BW82" s="136" t="n">
        <v>21</v>
      </c>
      <c r="BX82" s="14" t="s">
        <v>263</v>
      </c>
    </row>
    <row r="83">
      <c r="A83" s="130" t="s">
        <v>10</v>
      </c>
      <c r="B83" s="131" t="s">
        <v>235</v>
      </c>
      <c r="C83" s="132" t="s">
        <v>264</v>
      </c>
      <c r="D83" s="131"/>
      <c r="E83" s="133" t="s">
        <v>74</v>
      </c>
      <c r="F83" s="133" t="s">
        <v>74</v>
      </c>
      <c r="G83" s="134" t="s">
        <v>74</v>
      </c>
      <c r="H83" s="94">
        <f>SUM(H84:H92)</f>
      </c>
      <c r="I83" s="94">
        <f>SUM(I84:I92)</f>
      </c>
      <c r="J83" s="94">
        <f>SUM(J84:J92)</f>
      </c>
      <c r="K83" s="135" t="s">
        <v>10</v>
      </c>
      <c r="AI83" s="112" t="s">
        <v>10</v>
      </c>
      <c r="AS83" s="94">
        <f>SUM(AJ84:AJ92)</f>
      </c>
      <c r="AT83" s="94">
        <f>SUM(AK84:AK92)</f>
      </c>
      <c r="AU83" s="94">
        <f>SUM(AL84:AL92)</f>
      </c>
    </row>
    <row r="84">
      <c r="A84" s="9" t="s">
        <v>265</v>
      </c>
      <c r="B84" s="10" t="s">
        <v>266</v>
      </c>
      <c r="C84" s="14" t="s">
        <v>267</v>
      </c>
      <c r="D84" s="10"/>
      <c r="E84" s="10" t="s">
        <v>115</v>
      </c>
      <c r="F84" s="136" t="n">
        <v>24</v>
      </c>
      <c r="G84" s="137" t="n">
        <v>0</v>
      </c>
      <c r="H84" s="136">
        <f>F84*AO84</f>
      </c>
      <c r="I84" s="136">
        <f>F84*AP84</f>
      </c>
      <c r="J84" s="136">
        <f>F84*G84</f>
      </c>
      <c r="K84" s="138" t="s">
        <v>116</v>
      </c>
      <c r="Z84" s="136">
        <f>IF(AQ84="5",BJ84,0)</f>
      </c>
      <c r="AB84" s="136">
        <f>IF(AQ84="1",BH84,0)</f>
      </c>
      <c r="AC84" s="136">
        <f>IF(AQ84="1",BI84,0)</f>
      </c>
      <c r="AD84" s="136">
        <f>IF(AQ84="7",BH84,0)</f>
      </c>
      <c r="AE84" s="136">
        <f>IF(AQ84="7",BI84,0)</f>
      </c>
      <c r="AF84" s="136">
        <f>IF(AQ84="2",BH84,0)</f>
      </c>
      <c r="AG84" s="136">
        <f>IF(AQ84="2",BI84,0)</f>
      </c>
      <c r="AH84" s="136">
        <f>IF(AQ84="0",BJ84,0)</f>
      </c>
      <c r="AI84" s="112" t="s">
        <v>10</v>
      </c>
      <c r="AJ84" s="136">
        <f>IF(AN84=0,J84,0)</f>
      </c>
      <c r="AK84" s="136">
        <f>IF(AN84=12,J84,0)</f>
      </c>
      <c r="AL84" s="136">
        <f>IF(AN84=21,J84,0)</f>
      </c>
      <c r="AN84" s="136" t="n">
        <v>21</v>
      </c>
      <c r="AO84" s="136">
        <f>G84*0.716782874</f>
      </c>
      <c r="AP84" s="136">
        <f>G84*(1-0.716782874)</f>
      </c>
      <c r="AQ84" s="139" t="s">
        <v>112</v>
      </c>
      <c r="AV84" s="136">
        <f>AW84+AX84</f>
      </c>
      <c r="AW84" s="136">
        <f>F84*AO84</f>
      </c>
      <c r="AX84" s="136">
        <f>F84*AP84</f>
      </c>
      <c r="AY84" s="139" t="s">
        <v>268</v>
      </c>
      <c r="AZ84" s="139" t="s">
        <v>269</v>
      </c>
      <c r="BA84" s="112" t="s">
        <v>119</v>
      </c>
      <c r="BC84" s="136">
        <f>AW84+AX84</f>
      </c>
      <c r="BD84" s="136">
        <f>G84/(100-BE84)*100</f>
      </c>
      <c r="BE84" s="136" t="n">
        <v>0</v>
      </c>
      <c r="BF84" s="136">
        <f>84</f>
      </c>
      <c r="BH84" s="136">
        <f>F84*AO84</f>
      </c>
      <c r="BI84" s="136">
        <f>F84*AP84</f>
      </c>
      <c r="BJ84" s="136">
        <f>F84*G84</f>
      </c>
      <c r="BK84" s="136"/>
      <c r="BL84" s="136" t="n">
        <v>34</v>
      </c>
      <c r="BW84" s="136" t="n">
        <v>21</v>
      </c>
      <c r="BX84" s="14" t="s">
        <v>267</v>
      </c>
    </row>
    <row r="85">
      <c r="A85" s="140"/>
      <c r="B85" s="141" t="s">
        <v>131</v>
      </c>
      <c r="C85" s="142" t="s">
        <v>270</v>
      </c>
      <c r="D85" s="143"/>
      <c r="E85" s="143"/>
      <c r="F85" s="143"/>
      <c r="G85" s="144"/>
      <c r="H85" s="143"/>
      <c r="I85" s="143"/>
      <c r="J85" s="143"/>
      <c r="K85" s="145"/>
      <c r="BX85" s="142" t="s">
        <v>270</v>
      </c>
    </row>
    <row r="86">
      <c r="A86" s="9" t="s">
        <v>271</v>
      </c>
      <c r="B86" s="10" t="s">
        <v>272</v>
      </c>
      <c r="C86" s="14" t="s">
        <v>273</v>
      </c>
      <c r="D86" s="10"/>
      <c r="E86" s="10" t="s">
        <v>115</v>
      </c>
      <c r="F86" s="136" t="n">
        <v>24</v>
      </c>
      <c r="G86" s="137" t="n">
        <v>0</v>
      </c>
      <c r="H86" s="136">
        <f>F86*AO86</f>
      </c>
      <c r="I86" s="136">
        <f>F86*AP86</f>
      </c>
      <c r="J86" s="136">
        <f>F86*G86</f>
      </c>
      <c r="K86" s="138" t="s">
        <v>116</v>
      </c>
      <c r="Z86" s="136">
        <f>IF(AQ86="5",BJ86,0)</f>
      </c>
      <c r="AB86" s="136">
        <f>IF(AQ86="1",BH86,0)</f>
      </c>
      <c r="AC86" s="136">
        <f>IF(AQ86="1",BI86,0)</f>
      </c>
      <c r="AD86" s="136">
        <f>IF(AQ86="7",BH86,0)</f>
      </c>
      <c r="AE86" s="136">
        <f>IF(AQ86="7",BI86,0)</f>
      </c>
      <c r="AF86" s="136">
        <f>IF(AQ86="2",BH86,0)</f>
      </c>
      <c r="AG86" s="136">
        <f>IF(AQ86="2",BI86,0)</f>
      </c>
      <c r="AH86" s="136">
        <f>IF(AQ86="0",BJ86,0)</f>
      </c>
      <c r="AI86" s="112" t="s">
        <v>10</v>
      </c>
      <c r="AJ86" s="136">
        <f>IF(AN86=0,J86,0)</f>
      </c>
      <c r="AK86" s="136">
        <f>IF(AN86=12,J86,0)</f>
      </c>
      <c r="AL86" s="136">
        <f>IF(AN86=21,J86,0)</f>
      </c>
      <c r="AN86" s="136" t="n">
        <v>21</v>
      </c>
      <c r="AO86" s="136">
        <f>G86*0</f>
      </c>
      <c r="AP86" s="136">
        <f>G86*(1-0)</f>
      </c>
      <c r="AQ86" s="139" t="s">
        <v>112</v>
      </c>
      <c r="AV86" s="136">
        <f>AW86+AX86</f>
      </c>
      <c r="AW86" s="136">
        <f>F86*AO86</f>
      </c>
      <c r="AX86" s="136">
        <f>F86*AP86</f>
      </c>
      <c r="AY86" s="139" t="s">
        <v>268</v>
      </c>
      <c r="AZ86" s="139" t="s">
        <v>269</v>
      </c>
      <c r="BA86" s="112" t="s">
        <v>119</v>
      </c>
      <c r="BC86" s="136">
        <f>AW86+AX86</f>
      </c>
      <c r="BD86" s="136">
        <f>G86/(100-BE86)*100</f>
      </c>
      <c r="BE86" s="136" t="n">
        <v>0</v>
      </c>
      <c r="BF86" s="136">
        <f>86</f>
      </c>
      <c r="BH86" s="136">
        <f>F86*AO86</f>
      </c>
      <c r="BI86" s="136">
        <f>F86*AP86</f>
      </c>
      <c r="BJ86" s="136">
        <f>F86*G86</f>
      </c>
      <c r="BK86" s="136"/>
      <c r="BL86" s="136" t="n">
        <v>34</v>
      </c>
      <c r="BW86" s="136" t="n">
        <v>21</v>
      </c>
      <c r="BX86" s="14" t="s">
        <v>273</v>
      </c>
    </row>
    <row r="87">
      <c r="A87" s="9" t="s">
        <v>274</v>
      </c>
      <c r="B87" s="10" t="s">
        <v>275</v>
      </c>
      <c r="C87" s="14" t="s">
        <v>276</v>
      </c>
      <c r="D87" s="10"/>
      <c r="E87" s="10" t="s">
        <v>175</v>
      </c>
      <c r="F87" s="136" t="n">
        <v>2</v>
      </c>
      <c r="G87" s="137" t="n">
        <v>0</v>
      </c>
      <c r="H87" s="136">
        <f>F87*AO87</f>
      </c>
      <c r="I87" s="136">
        <f>F87*AP87</f>
      </c>
      <c r="J87" s="136">
        <f>F87*G87</f>
      </c>
      <c r="K87" s="138" t="s">
        <v>116</v>
      </c>
      <c r="Z87" s="136">
        <f>IF(AQ87="5",BJ87,0)</f>
      </c>
      <c r="AB87" s="136">
        <f>IF(AQ87="1",BH87,0)</f>
      </c>
      <c r="AC87" s="136">
        <f>IF(AQ87="1",BI87,0)</f>
      </c>
      <c r="AD87" s="136">
        <f>IF(AQ87="7",BH87,0)</f>
      </c>
      <c r="AE87" s="136">
        <f>IF(AQ87="7",BI87,0)</f>
      </c>
      <c r="AF87" s="136">
        <f>IF(AQ87="2",BH87,0)</f>
      </c>
      <c r="AG87" s="136">
        <f>IF(AQ87="2",BI87,0)</f>
      </c>
      <c r="AH87" s="136">
        <f>IF(AQ87="0",BJ87,0)</f>
      </c>
      <c r="AI87" s="112" t="s">
        <v>10</v>
      </c>
      <c r="AJ87" s="136">
        <f>IF(AN87=0,J87,0)</f>
      </c>
      <c r="AK87" s="136">
        <f>IF(AN87=12,J87,0)</f>
      </c>
      <c r="AL87" s="136">
        <f>IF(AN87=21,J87,0)</f>
      </c>
      <c r="AN87" s="136" t="n">
        <v>21</v>
      </c>
      <c r="AO87" s="136">
        <f>G87*0</f>
      </c>
      <c r="AP87" s="136">
        <f>G87*(1-0)</f>
      </c>
      <c r="AQ87" s="139" t="s">
        <v>112</v>
      </c>
      <c r="AV87" s="136">
        <f>AW87+AX87</f>
      </c>
      <c r="AW87" s="136">
        <f>F87*AO87</f>
      </c>
      <c r="AX87" s="136">
        <f>F87*AP87</f>
      </c>
      <c r="AY87" s="139" t="s">
        <v>268</v>
      </c>
      <c r="AZ87" s="139" t="s">
        <v>269</v>
      </c>
      <c r="BA87" s="112" t="s">
        <v>119</v>
      </c>
      <c r="BC87" s="136">
        <f>AW87+AX87</f>
      </c>
      <c r="BD87" s="136">
        <f>G87/(100-BE87)*100</f>
      </c>
      <c r="BE87" s="136" t="n">
        <v>0</v>
      </c>
      <c r="BF87" s="136">
        <f>87</f>
      </c>
      <c r="BH87" s="136">
        <f>F87*AO87</f>
      </c>
      <c r="BI87" s="136">
        <f>F87*AP87</f>
      </c>
      <c r="BJ87" s="136">
        <f>F87*G87</f>
      </c>
      <c r="BK87" s="136"/>
      <c r="BL87" s="136" t="n">
        <v>34</v>
      </c>
      <c r="BW87" s="136" t="n">
        <v>21</v>
      </c>
      <c r="BX87" s="14" t="s">
        <v>276</v>
      </c>
    </row>
    <row r="88" ht="36.75">
      <c r="A88" s="140"/>
      <c r="B88" s="141" t="s">
        <v>131</v>
      </c>
      <c r="C88" s="142" t="s">
        <v>277</v>
      </c>
      <c r="D88" s="143"/>
      <c r="E88" s="143"/>
      <c r="F88" s="143"/>
      <c r="G88" s="144"/>
      <c r="H88" s="143"/>
      <c r="I88" s="143"/>
      <c r="J88" s="143"/>
      <c r="K88" s="145"/>
      <c r="BX88" s="142" t="s">
        <v>277</v>
      </c>
    </row>
    <row r="89">
      <c r="A89" s="9" t="s">
        <v>278</v>
      </c>
      <c r="B89" s="10" t="s">
        <v>279</v>
      </c>
      <c r="C89" s="14" t="s">
        <v>280</v>
      </c>
      <c r="D89" s="10"/>
      <c r="E89" s="10" t="s">
        <v>175</v>
      </c>
      <c r="F89" s="136" t="n">
        <v>2</v>
      </c>
      <c r="G89" s="137" t="n">
        <v>0</v>
      </c>
      <c r="H89" s="136">
        <f>F89*AO89</f>
      </c>
      <c r="I89" s="136">
        <f>F89*AP89</f>
      </c>
      <c r="J89" s="136">
        <f>F89*G89</f>
      </c>
      <c r="K89" s="138" t="s">
        <v>116</v>
      </c>
      <c r="Z89" s="136">
        <f>IF(AQ89="5",BJ89,0)</f>
      </c>
      <c r="AB89" s="136">
        <f>IF(AQ89="1",BH89,0)</f>
      </c>
      <c r="AC89" s="136">
        <f>IF(AQ89="1",BI89,0)</f>
      </c>
      <c r="AD89" s="136">
        <f>IF(AQ89="7",BH89,0)</f>
      </c>
      <c r="AE89" s="136">
        <f>IF(AQ89="7",BI89,0)</f>
      </c>
      <c r="AF89" s="136">
        <f>IF(AQ89="2",BH89,0)</f>
      </c>
      <c r="AG89" s="136">
        <f>IF(AQ89="2",BI89,0)</f>
      </c>
      <c r="AH89" s="136">
        <f>IF(AQ89="0",BJ89,0)</f>
      </c>
      <c r="AI89" s="112" t="s">
        <v>10</v>
      </c>
      <c r="AJ89" s="136">
        <f>IF(AN89=0,J89,0)</f>
      </c>
      <c r="AK89" s="136">
        <f>IF(AN89=12,J89,0)</f>
      </c>
      <c r="AL89" s="136">
        <f>IF(AN89=21,J89,0)</f>
      </c>
      <c r="AN89" s="136" t="n">
        <v>21</v>
      </c>
      <c r="AO89" s="136">
        <f>G89*0.449679174</f>
      </c>
      <c r="AP89" s="136">
        <f>G89*(1-0.449679174)</f>
      </c>
      <c r="AQ89" s="139" t="s">
        <v>112</v>
      </c>
      <c r="AV89" s="136">
        <f>AW89+AX89</f>
      </c>
      <c r="AW89" s="136">
        <f>F89*AO89</f>
      </c>
      <c r="AX89" s="136">
        <f>F89*AP89</f>
      </c>
      <c r="AY89" s="139" t="s">
        <v>268</v>
      </c>
      <c r="AZ89" s="139" t="s">
        <v>269</v>
      </c>
      <c r="BA89" s="112" t="s">
        <v>119</v>
      </c>
      <c r="BC89" s="136">
        <f>AW89+AX89</f>
      </c>
      <c r="BD89" s="136">
        <f>G89/(100-BE89)*100</f>
      </c>
      <c r="BE89" s="136" t="n">
        <v>0</v>
      </c>
      <c r="BF89" s="136">
        <f>89</f>
      </c>
      <c r="BH89" s="136">
        <f>F89*AO89</f>
      </c>
      <c r="BI89" s="136">
        <f>F89*AP89</f>
      </c>
      <c r="BJ89" s="136">
        <f>F89*G89</f>
      </c>
      <c r="BK89" s="136"/>
      <c r="BL89" s="136" t="n">
        <v>34</v>
      </c>
      <c r="BW89" s="136" t="n">
        <v>21</v>
      </c>
      <c r="BX89" s="14" t="s">
        <v>280</v>
      </c>
    </row>
    <row r="90" customHeight="true" ht="13.5">
      <c r="A90" s="140"/>
      <c r="B90" s="141" t="s">
        <v>209</v>
      </c>
      <c r="C90" s="142" t="s">
        <v>281</v>
      </c>
      <c r="D90" s="143"/>
      <c r="E90" s="143"/>
      <c r="F90" s="143"/>
      <c r="G90" s="144"/>
      <c r="H90" s="143"/>
      <c r="I90" s="143"/>
      <c r="J90" s="143"/>
      <c r="K90" s="145"/>
    </row>
    <row r="91">
      <c r="A91" s="9" t="s">
        <v>282</v>
      </c>
      <c r="B91" s="10" t="s">
        <v>165</v>
      </c>
      <c r="C91" s="14" t="s">
        <v>166</v>
      </c>
      <c r="D91" s="10"/>
      <c r="E91" s="10" t="s">
        <v>129</v>
      </c>
      <c r="F91" s="136" t="n">
        <v>3.6</v>
      </c>
      <c r="G91" s="137" t="n">
        <v>0</v>
      </c>
      <c r="H91" s="136">
        <f>F91*AO91</f>
      </c>
      <c r="I91" s="136">
        <f>F91*AP91</f>
      </c>
      <c r="J91" s="136">
        <f>F91*G91</f>
      </c>
      <c r="K91" s="138" t="s">
        <v>116</v>
      </c>
      <c r="Z91" s="136">
        <f>IF(AQ91="5",BJ91,0)</f>
      </c>
      <c r="AB91" s="136">
        <f>IF(AQ91="1",BH91,0)</f>
      </c>
      <c r="AC91" s="136">
        <f>IF(AQ91="1",BI91,0)</f>
      </c>
      <c r="AD91" s="136">
        <f>IF(AQ91="7",BH91,0)</f>
      </c>
      <c r="AE91" s="136">
        <f>IF(AQ91="7",BI91,0)</f>
      </c>
      <c r="AF91" s="136">
        <f>IF(AQ91="2",BH91,0)</f>
      </c>
      <c r="AG91" s="136">
        <f>IF(AQ91="2",BI91,0)</f>
      </c>
      <c r="AH91" s="136">
        <f>IF(AQ91="0",BJ91,0)</f>
      </c>
      <c r="AI91" s="112" t="s">
        <v>10</v>
      </c>
      <c r="AJ91" s="136">
        <f>IF(AN91=0,J91,0)</f>
      </c>
      <c r="AK91" s="136">
        <f>IF(AN91=12,J91,0)</f>
      </c>
      <c r="AL91" s="136">
        <f>IF(AN91=21,J91,0)</f>
      </c>
      <c r="AN91" s="136" t="n">
        <v>21</v>
      </c>
      <c r="AO91" s="136">
        <f>G91*0</f>
      </c>
      <c r="AP91" s="136">
        <f>G91*(1-0)</f>
      </c>
      <c r="AQ91" s="139" t="s">
        <v>112</v>
      </c>
      <c r="AV91" s="136">
        <f>AW91+AX91</f>
      </c>
      <c r="AW91" s="136">
        <f>F91*AO91</f>
      </c>
      <c r="AX91" s="136">
        <f>F91*AP91</f>
      </c>
      <c r="AY91" s="139" t="s">
        <v>268</v>
      </c>
      <c r="AZ91" s="139" t="s">
        <v>269</v>
      </c>
      <c r="BA91" s="112" t="s">
        <v>119</v>
      </c>
      <c r="BC91" s="136">
        <f>AW91+AX91</f>
      </c>
      <c r="BD91" s="136">
        <f>G91/(100-BE91)*100</f>
      </c>
      <c r="BE91" s="136" t="n">
        <v>0</v>
      </c>
      <c r="BF91" s="136">
        <f>91</f>
      </c>
      <c r="BH91" s="136">
        <f>F91*AO91</f>
      </c>
      <c r="BI91" s="136">
        <f>F91*AP91</f>
      </c>
      <c r="BJ91" s="136">
        <f>F91*G91</f>
      </c>
      <c r="BK91" s="136"/>
      <c r="BL91" s="136" t="n">
        <v>34</v>
      </c>
      <c r="BW91" s="136" t="n">
        <v>21</v>
      </c>
      <c r="BX91" s="14" t="s">
        <v>166</v>
      </c>
    </row>
    <row r="92">
      <c r="A92" s="9" t="s">
        <v>283</v>
      </c>
      <c r="B92" s="10" t="s">
        <v>168</v>
      </c>
      <c r="C92" s="14" t="s">
        <v>169</v>
      </c>
      <c r="D92" s="10"/>
      <c r="E92" s="10" t="s">
        <v>129</v>
      </c>
      <c r="F92" s="136" t="n">
        <v>3.6</v>
      </c>
      <c r="G92" s="137" t="n">
        <v>0</v>
      </c>
      <c r="H92" s="136">
        <f>F92*AO92</f>
      </c>
      <c r="I92" s="136">
        <f>F92*AP92</f>
      </c>
      <c r="J92" s="136">
        <f>F92*G92</f>
      </c>
      <c r="K92" s="138" t="s">
        <v>116</v>
      </c>
      <c r="Z92" s="136">
        <f>IF(AQ92="5",BJ92,0)</f>
      </c>
      <c r="AB92" s="136">
        <f>IF(AQ92="1",BH92,0)</f>
      </c>
      <c r="AC92" s="136">
        <f>IF(AQ92="1",BI92,0)</f>
      </c>
      <c r="AD92" s="136">
        <f>IF(AQ92="7",BH92,0)</f>
      </c>
      <c r="AE92" s="136">
        <f>IF(AQ92="7",BI92,0)</f>
      </c>
      <c r="AF92" s="136">
        <f>IF(AQ92="2",BH92,0)</f>
      </c>
      <c r="AG92" s="136">
        <f>IF(AQ92="2",BI92,0)</f>
      </c>
      <c r="AH92" s="136">
        <f>IF(AQ92="0",BJ92,0)</f>
      </c>
      <c r="AI92" s="112" t="s">
        <v>10</v>
      </c>
      <c r="AJ92" s="136">
        <f>IF(AN92=0,J92,0)</f>
      </c>
      <c r="AK92" s="136">
        <f>IF(AN92=12,J92,0)</f>
      </c>
      <c r="AL92" s="136">
        <f>IF(AN92=21,J92,0)</f>
      </c>
      <c r="AN92" s="136" t="n">
        <v>21</v>
      </c>
      <c r="AO92" s="136">
        <f>G92*0.010896003</f>
      </c>
      <c r="AP92" s="136">
        <f>G92*(1-0.010896003)</f>
      </c>
      <c r="AQ92" s="139" t="s">
        <v>130</v>
      </c>
      <c r="AV92" s="136">
        <f>AW92+AX92</f>
      </c>
      <c r="AW92" s="136">
        <f>F92*AO92</f>
      </c>
      <c r="AX92" s="136">
        <f>F92*AP92</f>
      </c>
      <c r="AY92" s="139" t="s">
        <v>268</v>
      </c>
      <c r="AZ92" s="139" t="s">
        <v>269</v>
      </c>
      <c r="BA92" s="112" t="s">
        <v>119</v>
      </c>
      <c r="BC92" s="136">
        <f>AW92+AX92</f>
      </c>
      <c r="BD92" s="136">
        <f>G92/(100-BE92)*100</f>
      </c>
      <c r="BE92" s="136" t="n">
        <v>0</v>
      </c>
      <c r="BF92" s="136">
        <f>92</f>
      </c>
      <c r="BH92" s="136">
        <f>F92*AO92</f>
      </c>
      <c r="BI92" s="136">
        <f>F92*AP92</f>
      </c>
      <c r="BJ92" s="136">
        <f>F92*G92</f>
      </c>
      <c r="BK92" s="136"/>
      <c r="BL92" s="136" t="n">
        <v>34</v>
      </c>
      <c r="BW92" s="136" t="n">
        <v>21</v>
      </c>
      <c r="BX92" s="14" t="s">
        <v>169</v>
      </c>
    </row>
    <row r="93">
      <c r="A93" s="140"/>
      <c r="B93" s="141" t="s">
        <v>131</v>
      </c>
      <c r="C93" s="142" t="s">
        <v>170</v>
      </c>
      <c r="D93" s="143"/>
      <c r="E93" s="143"/>
      <c r="F93" s="143"/>
      <c r="G93" s="144"/>
      <c r="H93" s="143"/>
      <c r="I93" s="143"/>
      <c r="J93" s="143"/>
      <c r="K93" s="145"/>
      <c r="BX93" s="142" t="s">
        <v>170</v>
      </c>
    </row>
    <row r="94">
      <c r="A94" s="130" t="s">
        <v>10</v>
      </c>
      <c r="B94" s="131" t="s">
        <v>284</v>
      </c>
      <c r="C94" s="132" t="s">
        <v>285</v>
      </c>
      <c r="D94" s="131"/>
      <c r="E94" s="133" t="s">
        <v>74</v>
      </c>
      <c r="F94" s="133" t="s">
        <v>74</v>
      </c>
      <c r="G94" s="134" t="s">
        <v>74</v>
      </c>
      <c r="H94" s="94">
        <f>SUM(H95:H105)</f>
      </c>
      <c r="I94" s="94">
        <f>SUM(I95:I105)</f>
      </c>
      <c r="J94" s="94">
        <f>SUM(J95:J105)</f>
      </c>
      <c r="K94" s="135" t="s">
        <v>10</v>
      </c>
      <c r="AI94" s="112" t="s">
        <v>10</v>
      </c>
      <c r="AS94" s="94">
        <f>SUM(AJ95:AJ105)</f>
      </c>
      <c r="AT94" s="94">
        <f>SUM(AK95:AK105)</f>
      </c>
      <c r="AU94" s="94">
        <f>SUM(AL95:AL105)</f>
      </c>
    </row>
    <row r="95">
      <c r="A95" s="9" t="s">
        <v>286</v>
      </c>
      <c r="B95" s="10" t="s">
        <v>287</v>
      </c>
      <c r="C95" s="14" t="s">
        <v>288</v>
      </c>
      <c r="D95" s="10"/>
      <c r="E95" s="10" t="s">
        <v>135</v>
      </c>
      <c r="F95" s="136" t="n">
        <v>2071</v>
      </c>
      <c r="G95" s="137" t="n">
        <v>0</v>
      </c>
      <c r="H95" s="136">
        <f>F95*AO95</f>
      </c>
      <c r="I95" s="136">
        <f>F95*AP95</f>
      </c>
      <c r="J95" s="136">
        <f>F95*G95</f>
      </c>
      <c r="K95" s="138" t="s">
        <v>116</v>
      </c>
      <c r="Z95" s="136">
        <f>IF(AQ95="5",BJ95,0)</f>
      </c>
      <c r="AB95" s="136">
        <f>IF(AQ95="1",BH95,0)</f>
      </c>
      <c r="AC95" s="136">
        <f>IF(AQ95="1",BI95,0)</f>
      </c>
      <c r="AD95" s="136">
        <f>IF(AQ95="7",BH95,0)</f>
      </c>
      <c r="AE95" s="136">
        <f>IF(AQ95="7",BI95,0)</f>
      </c>
      <c r="AF95" s="136">
        <f>IF(AQ95="2",BH95,0)</f>
      </c>
      <c r="AG95" s="136">
        <f>IF(AQ95="2",BI95,0)</f>
      </c>
      <c r="AH95" s="136">
        <f>IF(AQ95="0",BJ95,0)</f>
      </c>
      <c r="AI95" s="112" t="s">
        <v>10</v>
      </c>
      <c r="AJ95" s="136">
        <f>IF(AN95=0,J95,0)</f>
      </c>
      <c r="AK95" s="136">
        <f>IF(AN95=12,J95,0)</f>
      </c>
      <c r="AL95" s="136">
        <f>IF(AN95=21,J95,0)</f>
      </c>
      <c r="AN95" s="136" t="n">
        <v>21</v>
      </c>
      <c r="AO95" s="136">
        <f>G95*0.890997529</f>
      </c>
      <c r="AP95" s="136">
        <f>G95*(1-0.890997529)</f>
      </c>
      <c r="AQ95" s="139" t="s">
        <v>112</v>
      </c>
      <c r="AV95" s="136">
        <f>AW95+AX95</f>
      </c>
      <c r="AW95" s="136">
        <f>F95*AO95</f>
      </c>
      <c r="AX95" s="136">
        <f>F95*AP95</f>
      </c>
      <c r="AY95" s="139" t="s">
        <v>289</v>
      </c>
      <c r="AZ95" s="139" t="s">
        <v>290</v>
      </c>
      <c r="BA95" s="112" t="s">
        <v>119</v>
      </c>
      <c r="BC95" s="136">
        <f>AW95+AX95</f>
      </c>
      <c r="BD95" s="136">
        <f>G95/(100-BE95)*100</f>
      </c>
      <c r="BE95" s="136" t="n">
        <v>0</v>
      </c>
      <c r="BF95" s="136">
        <f>95</f>
      </c>
      <c r="BH95" s="136">
        <f>F95*AO95</f>
      </c>
      <c r="BI95" s="136">
        <f>F95*AP95</f>
      </c>
      <c r="BJ95" s="136">
        <f>F95*G95</f>
      </c>
      <c r="BK95" s="136"/>
      <c r="BL95" s="136" t="n">
        <v>56</v>
      </c>
      <c r="BW95" s="136" t="n">
        <v>21</v>
      </c>
      <c r="BX95" s="14" t="s">
        <v>288</v>
      </c>
    </row>
    <row r="96">
      <c r="A96" s="9" t="s">
        <v>291</v>
      </c>
      <c r="B96" s="10" t="s">
        <v>292</v>
      </c>
      <c r="C96" s="14" t="s">
        <v>293</v>
      </c>
      <c r="D96" s="10"/>
      <c r="E96" s="10" t="s">
        <v>135</v>
      </c>
      <c r="F96" s="136" t="n">
        <v>2301</v>
      </c>
      <c r="G96" s="137" t="n">
        <v>0</v>
      </c>
      <c r="H96" s="136">
        <f>F96*AO96</f>
      </c>
      <c r="I96" s="136">
        <f>F96*AP96</f>
      </c>
      <c r="J96" s="136">
        <f>F96*G96</f>
      </c>
      <c r="K96" s="138" t="s">
        <v>116</v>
      </c>
      <c r="Z96" s="136">
        <f>IF(AQ96="5",BJ96,0)</f>
      </c>
      <c r="AB96" s="136">
        <f>IF(AQ96="1",BH96,0)</f>
      </c>
      <c r="AC96" s="136">
        <f>IF(AQ96="1",BI96,0)</f>
      </c>
      <c r="AD96" s="136">
        <f>IF(AQ96="7",BH96,0)</f>
      </c>
      <c r="AE96" s="136">
        <f>IF(AQ96="7",BI96,0)</f>
      </c>
      <c r="AF96" s="136">
        <f>IF(AQ96="2",BH96,0)</f>
      </c>
      <c r="AG96" s="136">
        <f>IF(AQ96="2",BI96,0)</f>
      </c>
      <c r="AH96" s="136">
        <f>IF(AQ96="0",BJ96,0)</f>
      </c>
      <c r="AI96" s="112" t="s">
        <v>10</v>
      </c>
      <c r="AJ96" s="136">
        <f>IF(AN96=0,J96,0)</f>
      </c>
      <c r="AK96" s="136">
        <f>IF(AN96=12,J96,0)</f>
      </c>
      <c r="AL96" s="136">
        <f>IF(AN96=21,J96,0)</f>
      </c>
      <c r="AN96" s="136" t="n">
        <v>21</v>
      </c>
      <c r="AO96" s="136">
        <f>G96*0.815320334</f>
      </c>
      <c r="AP96" s="136">
        <f>G96*(1-0.815320334)</f>
      </c>
      <c r="AQ96" s="139" t="s">
        <v>112</v>
      </c>
      <c r="AV96" s="136">
        <f>AW96+AX96</f>
      </c>
      <c r="AW96" s="136">
        <f>F96*AO96</f>
      </c>
      <c r="AX96" s="136">
        <f>F96*AP96</f>
      </c>
      <c r="AY96" s="139" t="s">
        <v>289</v>
      </c>
      <c r="AZ96" s="139" t="s">
        <v>290</v>
      </c>
      <c r="BA96" s="112" t="s">
        <v>119</v>
      </c>
      <c r="BC96" s="136">
        <f>AW96+AX96</f>
      </c>
      <c r="BD96" s="136">
        <f>G96/(100-BE96)*100</f>
      </c>
      <c r="BE96" s="136" t="n">
        <v>0</v>
      </c>
      <c r="BF96" s="136">
        <f>96</f>
      </c>
      <c r="BH96" s="136">
        <f>F96*AO96</f>
      </c>
      <c r="BI96" s="136">
        <f>F96*AP96</f>
      </c>
      <c r="BJ96" s="136">
        <f>F96*G96</f>
      </c>
      <c r="BK96" s="136"/>
      <c r="BL96" s="136" t="n">
        <v>56</v>
      </c>
      <c r="BW96" s="136" t="n">
        <v>21</v>
      </c>
      <c r="BX96" s="14" t="s">
        <v>293</v>
      </c>
    </row>
    <row r="97" customHeight="true" ht="13.5">
      <c r="A97" s="140"/>
      <c r="B97" s="141" t="s">
        <v>209</v>
      </c>
      <c r="C97" s="142" t="s">
        <v>294</v>
      </c>
      <c r="D97" s="143"/>
      <c r="E97" s="143"/>
      <c r="F97" s="143"/>
      <c r="G97" s="144"/>
      <c r="H97" s="143"/>
      <c r="I97" s="143"/>
      <c r="J97" s="143"/>
      <c r="K97" s="145"/>
    </row>
    <row r="98">
      <c r="A98" s="9" t="s">
        <v>295</v>
      </c>
      <c r="B98" s="10" t="s">
        <v>296</v>
      </c>
      <c r="C98" s="14" t="s">
        <v>297</v>
      </c>
      <c r="D98" s="10"/>
      <c r="E98" s="10" t="s">
        <v>135</v>
      </c>
      <c r="F98" s="136" t="n">
        <v>2301</v>
      </c>
      <c r="G98" s="137" t="n">
        <v>0</v>
      </c>
      <c r="H98" s="136">
        <f>F98*AO98</f>
      </c>
      <c r="I98" s="136">
        <f>F98*AP98</f>
      </c>
      <c r="J98" s="136">
        <f>F98*G98</f>
      </c>
      <c r="K98" s="138" t="s">
        <v>116</v>
      </c>
      <c r="Z98" s="136">
        <f>IF(AQ98="5",BJ98,0)</f>
      </c>
      <c r="AB98" s="136">
        <f>IF(AQ98="1",BH98,0)</f>
      </c>
      <c r="AC98" s="136">
        <f>IF(AQ98="1",BI98,0)</f>
      </c>
      <c r="AD98" s="136">
        <f>IF(AQ98="7",BH98,0)</f>
      </c>
      <c r="AE98" s="136">
        <f>IF(AQ98="7",BI98,0)</f>
      </c>
      <c r="AF98" s="136">
        <f>IF(AQ98="2",BH98,0)</f>
      </c>
      <c r="AG98" s="136">
        <f>IF(AQ98="2",BI98,0)</f>
      </c>
      <c r="AH98" s="136">
        <f>IF(AQ98="0",BJ98,0)</f>
      </c>
      <c r="AI98" s="112" t="s">
        <v>10</v>
      </c>
      <c r="AJ98" s="136">
        <f>IF(AN98=0,J98,0)</f>
      </c>
      <c r="AK98" s="136">
        <f>IF(AN98=12,J98,0)</f>
      </c>
      <c r="AL98" s="136">
        <f>IF(AN98=21,J98,0)</f>
      </c>
      <c r="AN98" s="136" t="n">
        <v>21</v>
      </c>
      <c r="AO98" s="136">
        <f>G98*0.833894128</f>
      </c>
      <c r="AP98" s="136">
        <f>G98*(1-0.833894128)</f>
      </c>
      <c r="AQ98" s="139" t="s">
        <v>112</v>
      </c>
      <c r="AV98" s="136">
        <f>AW98+AX98</f>
      </c>
      <c r="AW98" s="136">
        <f>F98*AO98</f>
      </c>
      <c r="AX98" s="136">
        <f>F98*AP98</f>
      </c>
      <c r="AY98" s="139" t="s">
        <v>289</v>
      </c>
      <c r="AZ98" s="139" t="s">
        <v>290</v>
      </c>
      <c r="BA98" s="112" t="s">
        <v>119</v>
      </c>
      <c r="BC98" s="136">
        <f>AW98+AX98</f>
      </c>
      <c r="BD98" s="136">
        <f>G98/(100-BE98)*100</f>
      </c>
      <c r="BE98" s="136" t="n">
        <v>0</v>
      </c>
      <c r="BF98" s="136">
        <f>98</f>
      </c>
      <c r="BH98" s="136">
        <f>F98*AO98</f>
      </c>
      <c r="BI98" s="136">
        <f>F98*AP98</f>
      </c>
      <c r="BJ98" s="136">
        <f>F98*G98</f>
      </c>
      <c r="BK98" s="136"/>
      <c r="BL98" s="136" t="n">
        <v>56</v>
      </c>
      <c r="BW98" s="136" t="n">
        <v>21</v>
      </c>
      <c r="BX98" s="14" t="s">
        <v>297</v>
      </c>
    </row>
    <row r="99" customHeight="true" ht="13.5">
      <c r="A99" s="140"/>
      <c r="B99" s="141" t="s">
        <v>209</v>
      </c>
      <c r="C99" s="142" t="s">
        <v>294</v>
      </c>
      <c r="D99" s="143"/>
      <c r="E99" s="143"/>
      <c r="F99" s="143"/>
      <c r="G99" s="144"/>
      <c r="H99" s="143"/>
      <c r="I99" s="143"/>
      <c r="J99" s="143"/>
      <c r="K99" s="145"/>
    </row>
    <row r="100">
      <c r="A100" s="9" t="s">
        <v>298</v>
      </c>
      <c r="B100" s="10" t="s">
        <v>299</v>
      </c>
      <c r="C100" s="14" t="s">
        <v>300</v>
      </c>
      <c r="D100" s="10"/>
      <c r="E100" s="10" t="s">
        <v>135</v>
      </c>
      <c r="F100" s="136" t="n">
        <v>1511</v>
      </c>
      <c r="G100" s="137" t="n">
        <v>0</v>
      </c>
      <c r="H100" s="136">
        <f>F100*AO100</f>
      </c>
      <c r="I100" s="136">
        <f>F100*AP100</f>
      </c>
      <c r="J100" s="136">
        <f>F100*G100</f>
      </c>
      <c r="K100" s="138" t="s">
        <v>116</v>
      </c>
      <c r="Z100" s="136">
        <f>IF(AQ100="5",BJ100,0)</f>
      </c>
      <c r="AB100" s="136">
        <f>IF(AQ100="1",BH100,0)</f>
      </c>
      <c r="AC100" s="136">
        <f>IF(AQ100="1",BI100,0)</f>
      </c>
      <c r="AD100" s="136">
        <f>IF(AQ100="7",BH100,0)</f>
      </c>
      <c r="AE100" s="136">
        <f>IF(AQ100="7",BI100,0)</f>
      </c>
      <c r="AF100" s="136">
        <f>IF(AQ100="2",BH100,0)</f>
      </c>
      <c r="AG100" s="136">
        <f>IF(AQ100="2",BI100,0)</f>
      </c>
      <c r="AH100" s="136">
        <f>IF(AQ100="0",BJ100,0)</f>
      </c>
      <c r="AI100" s="112" t="s">
        <v>10</v>
      </c>
      <c r="AJ100" s="136">
        <f>IF(AN100=0,J100,0)</f>
      </c>
      <c r="AK100" s="136">
        <f>IF(AN100=12,J100,0)</f>
      </c>
      <c r="AL100" s="136">
        <f>IF(AN100=21,J100,0)</f>
      </c>
      <c r="AN100" s="136" t="n">
        <v>21</v>
      </c>
      <c r="AO100" s="136">
        <f>G100*0.842392157</f>
      </c>
      <c r="AP100" s="136">
        <f>G100*(1-0.842392157)</f>
      </c>
      <c r="AQ100" s="139" t="s">
        <v>112</v>
      </c>
      <c r="AV100" s="136">
        <f>AW100+AX100</f>
      </c>
      <c r="AW100" s="136">
        <f>F100*AO100</f>
      </c>
      <c r="AX100" s="136">
        <f>F100*AP100</f>
      </c>
      <c r="AY100" s="139" t="s">
        <v>289</v>
      </c>
      <c r="AZ100" s="139" t="s">
        <v>290</v>
      </c>
      <c r="BA100" s="112" t="s">
        <v>119</v>
      </c>
      <c r="BC100" s="136">
        <f>AW100+AX100</f>
      </c>
      <c r="BD100" s="136">
        <f>G100/(100-BE100)*100</f>
      </c>
      <c r="BE100" s="136" t="n">
        <v>0</v>
      </c>
      <c r="BF100" s="136">
        <f>100</f>
      </c>
      <c r="BH100" s="136">
        <f>F100*AO100</f>
      </c>
      <c r="BI100" s="136">
        <f>F100*AP100</f>
      </c>
      <c r="BJ100" s="136">
        <f>F100*G100</f>
      </c>
      <c r="BK100" s="136"/>
      <c r="BL100" s="136" t="n">
        <v>56</v>
      </c>
      <c r="BW100" s="136" t="n">
        <v>21</v>
      </c>
      <c r="BX100" s="14" t="s">
        <v>300</v>
      </c>
    </row>
    <row r="101" customHeight="true" ht="13.5">
      <c r="A101" s="140"/>
      <c r="B101" s="141" t="s">
        <v>209</v>
      </c>
      <c r="C101" s="142" t="s">
        <v>294</v>
      </c>
      <c r="D101" s="143"/>
      <c r="E101" s="143"/>
      <c r="F101" s="143"/>
      <c r="G101" s="144"/>
      <c r="H101" s="143"/>
      <c r="I101" s="143"/>
      <c r="J101" s="143"/>
      <c r="K101" s="145"/>
    </row>
    <row r="102">
      <c r="A102" s="9" t="s">
        <v>301</v>
      </c>
      <c r="B102" s="10" t="s">
        <v>302</v>
      </c>
      <c r="C102" s="14" t="s">
        <v>303</v>
      </c>
      <c r="D102" s="10"/>
      <c r="E102" s="10" t="s">
        <v>135</v>
      </c>
      <c r="F102" s="136" t="n">
        <v>16</v>
      </c>
      <c r="G102" s="137" t="n">
        <v>0</v>
      </c>
      <c r="H102" s="136">
        <f>F102*AO102</f>
      </c>
      <c r="I102" s="136">
        <f>F102*AP102</f>
      </c>
      <c r="J102" s="136">
        <f>F102*G102</f>
      </c>
      <c r="K102" s="138" t="s">
        <v>116</v>
      </c>
      <c r="Z102" s="136">
        <f>IF(AQ102="5",BJ102,0)</f>
      </c>
      <c r="AB102" s="136">
        <f>IF(AQ102="1",BH102,0)</f>
      </c>
      <c r="AC102" s="136">
        <f>IF(AQ102="1",BI102,0)</f>
      </c>
      <c r="AD102" s="136">
        <f>IF(AQ102="7",BH102,0)</f>
      </c>
      <c r="AE102" s="136">
        <f>IF(AQ102="7",BI102,0)</f>
      </c>
      <c r="AF102" s="136">
        <f>IF(AQ102="2",BH102,0)</f>
      </c>
      <c r="AG102" s="136">
        <f>IF(AQ102="2",BI102,0)</f>
      </c>
      <c r="AH102" s="136">
        <f>IF(AQ102="0",BJ102,0)</f>
      </c>
      <c r="AI102" s="112" t="s">
        <v>10</v>
      </c>
      <c r="AJ102" s="136">
        <f>IF(AN102=0,J102,0)</f>
      </c>
      <c r="AK102" s="136">
        <f>IF(AN102=12,J102,0)</f>
      </c>
      <c r="AL102" s="136">
        <f>IF(AN102=21,J102,0)</f>
      </c>
      <c r="AN102" s="136" t="n">
        <v>21</v>
      </c>
      <c r="AO102" s="136">
        <f>G102*0.928258258</f>
      </c>
      <c r="AP102" s="136">
        <f>G102*(1-0.928258258)</f>
      </c>
      <c r="AQ102" s="139" t="s">
        <v>112</v>
      </c>
      <c r="AV102" s="136">
        <f>AW102+AX102</f>
      </c>
      <c r="AW102" s="136">
        <f>F102*AO102</f>
      </c>
      <c r="AX102" s="136">
        <f>F102*AP102</f>
      </c>
      <c r="AY102" s="139" t="s">
        <v>289</v>
      </c>
      <c r="AZ102" s="139" t="s">
        <v>290</v>
      </c>
      <c r="BA102" s="112" t="s">
        <v>119</v>
      </c>
      <c r="BC102" s="136">
        <f>AW102+AX102</f>
      </c>
      <c r="BD102" s="136">
        <f>G102/(100-BE102)*100</f>
      </c>
      <c r="BE102" s="136" t="n">
        <v>0</v>
      </c>
      <c r="BF102" s="136">
        <f>102</f>
      </c>
      <c r="BH102" s="136">
        <f>F102*AO102</f>
      </c>
      <c r="BI102" s="136">
        <f>F102*AP102</f>
      </c>
      <c r="BJ102" s="136">
        <f>F102*G102</f>
      </c>
      <c r="BK102" s="136"/>
      <c r="BL102" s="136" t="n">
        <v>56</v>
      </c>
      <c r="BW102" s="136" t="n">
        <v>21</v>
      </c>
      <c r="BX102" s="14" t="s">
        <v>303</v>
      </c>
    </row>
    <row r="103">
      <c r="A103" s="9" t="s">
        <v>304</v>
      </c>
      <c r="B103" s="10" t="s">
        <v>305</v>
      </c>
      <c r="C103" s="14" t="s">
        <v>306</v>
      </c>
      <c r="D103" s="10"/>
      <c r="E103" s="10" t="s">
        <v>135</v>
      </c>
      <c r="F103" s="136" t="n">
        <v>16</v>
      </c>
      <c r="G103" s="137" t="n">
        <v>0</v>
      </c>
      <c r="H103" s="136">
        <f>F103*AO103</f>
      </c>
      <c r="I103" s="136">
        <f>F103*AP103</f>
      </c>
      <c r="J103" s="136">
        <f>F103*G103</f>
      </c>
      <c r="K103" s="138" t="s">
        <v>116</v>
      </c>
      <c r="Z103" s="136">
        <f>IF(AQ103="5",BJ103,0)</f>
      </c>
      <c r="AB103" s="136">
        <f>IF(AQ103="1",BH103,0)</f>
      </c>
      <c r="AC103" s="136">
        <f>IF(AQ103="1",BI103,0)</f>
      </c>
      <c r="AD103" s="136">
        <f>IF(AQ103="7",BH103,0)</f>
      </c>
      <c r="AE103" s="136">
        <f>IF(AQ103="7",BI103,0)</f>
      </c>
      <c r="AF103" s="136">
        <f>IF(AQ103="2",BH103,0)</f>
      </c>
      <c r="AG103" s="136">
        <f>IF(AQ103="2",BI103,0)</f>
      </c>
      <c r="AH103" s="136">
        <f>IF(AQ103="0",BJ103,0)</f>
      </c>
      <c r="AI103" s="112" t="s">
        <v>10</v>
      </c>
      <c r="AJ103" s="136">
        <f>IF(AN103=0,J103,0)</f>
      </c>
      <c r="AK103" s="136">
        <f>IF(AN103=12,J103,0)</f>
      </c>
      <c r="AL103" s="136">
        <f>IF(AN103=21,J103,0)</f>
      </c>
      <c r="AN103" s="136" t="n">
        <v>21</v>
      </c>
      <c r="AO103" s="136">
        <f>G103*0.835624652</f>
      </c>
      <c r="AP103" s="136">
        <f>G103*(1-0.835624652)</f>
      </c>
      <c r="AQ103" s="139" t="s">
        <v>112</v>
      </c>
      <c r="AV103" s="136">
        <f>AW103+AX103</f>
      </c>
      <c r="AW103" s="136">
        <f>F103*AO103</f>
      </c>
      <c r="AX103" s="136">
        <f>F103*AP103</f>
      </c>
      <c r="AY103" s="139" t="s">
        <v>289</v>
      </c>
      <c r="AZ103" s="139" t="s">
        <v>290</v>
      </c>
      <c r="BA103" s="112" t="s">
        <v>119</v>
      </c>
      <c r="BC103" s="136">
        <f>AW103+AX103</f>
      </c>
      <c r="BD103" s="136">
        <f>G103/(100-BE103)*100</f>
      </c>
      <c r="BE103" s="136" t="n">
        <v>0</v>
      </c>
      <c r="BF103" s="136">
        <f>103</f>
      </c>
      <c r="BH103" s="136">
        <f>F103*AO103</f>
      </c>
      <c r="BI103" s="136">
        <f>F103*AP103</f>
      </c>
      <c r="BJ103" s="136">
        <f>F103*G103</f>
      </c>
      <c r="BK103" s="136"/>
      <c r="BL103" s="136" t="n">
        <v>56</v>
      </c>
      <c r="BW103" s="136" t="n">
        <v>21</v>
      </c>
      <c r="BX103" s="14" t="s">
        <v>306</v>
      </c>
    </row>
    <row r="104" customHeight="true" ht="13.5">
      <c r="A104" s="140"/>
      <c r="B104" s="141" t="s">
        <v>209</v>
      </c>
      <c r="C104" s="142" t="s">
        <v>294</v>
      </c>
      <c r="D104" s="143"/>
      <c r="E104" s="143"/>
      <c r="F104" s="143"/>
      <c r="G104" s="144"/>
      <c r="H104" s="143"/>
      <c r="I104" s="143"/>
      <c r="J104" s="143"/>
      <c r="K104" s="145"/>
    </row>
    <row r="105">
      <c r="A105" s="9" t="s">
        <v>307</v>
      </c>
      <c r="B105" s="10" t="s">
        <v>308</v>
      </c>
      <c r="C105" s="14" t="s">
        <v>309</v>
      </c>
      <c r="D105" s="10"/>
      <c r="E105" s="10" t="s">
        <v>135</v>
      </c>
      <c r="F105" s="136" t="n">
        <v>3598</v>
      </c>
      <c r="G105" s="137" t="n">
        <v>0</v>
      </c>
      <c r="H105" s="136">
        <f>F105*AO105</f>
      </c>
      <c r="I105" s="136">
        <f>F105*AP105</f>
      </c>
      <c r="J105" s="136">
        <f>F105*G105</f>
      </c>
      <c r="K105" s="138" t="s">
        <v>116</v>
      </c>
      <c r="Z105" s="136">
        <f>IF(AQ105="5",BJ105,0)</f>
      </c>
      <c r="AB105" s="136">
        <f>IF(AQ105="1",BH105,0)</f>
      </c>
      <c r="AC105" s="136">
        <f>IF(AQ105="1",BI105,0)</f>
      </c>
      <c r="AD105" s="136">
        <f>IF(AQ105="7",BH105,0)</f>
      </c>
      <c r="AE105" s="136">
        <f>IF(AQ105="7",BI105,0)</f>
      </c>
      <c r="AF105" s="136">
        <f>IF(AQ105="2",BH105,0)</f>
      </c>
      <c r="AG105" s="136">
        <f>IF(AQ105="2",BI105,0)</f>
      </c>
      <c r="AH105" s="136">
        <f>IF(AQ105="0",BJ105,0)</f>
      </c>
      <c r="AI105" s="112" t="s">
        <v>10</v>
      </c>
      <c r="AJ105" s="136">
        <f>IF(AN105=0,J105,0)</f>
      </c>
      <c r="AK105" s="136">
        <f>IF(AN105=12,J105,0)</f>
      </c>
      <c r="AL105" s="136">
        <f>IF(AN105=21,J105,0)</f>
      </c>
      <c r="AN105" s="136" t="n">
        <v>21</v>
      </c>
      <c r="AO105" s="136">
        <f>G105*0.834477612</f>
      </c>
      <c r="AP105" s="136">
        <f>G105*(1-0.834477612)</f>
      </c>
      <c r="AQ105" s="139" t="s">
        <v>112</v>
      </c>
      <c r="AV105" s="136">
        <f>AW105+AX105</f>
      </c>
      <c r="AW105" s="136">
        <f>F105*AO105</f>
      </c>
      <c r="AX105" s="136">
        <f>F105*AP105</f>
      </c>
      <c r="AY105" s="139" t="s">
        <v>289</v>
      </c>
      <c r="AZ105" s="139" t="s">
        <v>290</v>
      </c>
      <c r="BA105" s="112" t="s">
        <v>119</v>
      </c>
      <c r="BC105" s="136">
        <f>AW105+AX105</f>
      </c>
      <c r="BD105" s="136">
        <f>G105/(100-BE105)*100</f>
      </c>
      <c r="BE105" s="136" t="n">
        <v>0</v>
      </c>
      <c r="BF105" s="136">
        <f>105</f>
      </c>
      <c r="BH105" s="136">
        <f>F105*AO105</f>
      </c>
      <c r="BI105" s="136">
        <f>F105*AP105</f>
      </c>
      <c r="BJ105" s="136">
        <f>F105*G105</f>
      </c>
      <c r="BK105" s="136"/>
      <c r="BL105" s="136" t="n">
        <v>56</v>
      </c>
      <c r="BW105" s="136" t="n">
        <v>21</v>
      </c>
      <c r="BX105" s="14" t="s">
        <v>309</v>
      </c>
    </row>
    <row r="106">
      <c r="A106" s="130" t="s">
        <v>10</v>
      </c>
      <c r="B106" s="131" t="s">
        <v>310</v>
      </c>
      <c r="C106" s="132" t="s">
        <v>311</v>
      </c>
      <c r="D106" s="131"/>
      <c r="E106" s="133" t="s">
        <v>74</v>
      </c>
      <c r="F106" s="133" t="s">
        <v>74</v>
      </c>
      <c r="G106" s="134" t="s">
        <v>74</v>
      </c>
      <c r="H106" s="94">
        <f>SUM(H107:H114)</f>
      </c>
      <c r="I106" s="94">
        <f>SUM(I107:I114)</f>
      </c>
      <c r="J106" s="94">
        <f>SUM(J107:J114)</f>
      </c>
      <c r="K106" s="135" t="s">
        <v>10</v>
      </c>
      <c r="AI106" s="112" t="s">
        <v>10</v>
      </c>
      <c r="AS106" s="94">
        <f>SUM(AJ107:AJ114)</f>
      </c>
      <c r="AT106" s="94">
        <f>SUM(AK107:AK114)</f>
      </c>
      <c r="AU106" s="94">
        <f>SUM(AL107:AL114)</f>
      </c>
    </row>
    <row r="107">
      <c r="A107" s="9" t="s">
        <v>312</v>
      </c>
      <c r="B107" s="10" t="s">
        <v>313</v>
      </c>
      <c r="C107" s="14" t="s">
        <v>314</v>
      </c>
      <c r="D107" s="10"/>
      <c r="E107" s="10" t="s">
        <v>135</v>
      </c>
      <c r="F107" s="136" t="n">
        <v>2071</v>
      </c>
      <c r="G107" s="137" t="n">
        <v>0</v>
      </c>
      <c r="H107" s="136">
        <f>F107*AO107</f>
      </c>
      <c r="I107" s="136">
        <f>F107*AP107</f>
      </c>
      <c r="J107" s="136">
        <f>F107*G107</f>
      </c>
      <c r="K107" s="138" t="s">
        <v>116</v>
      </c>
      <c r="Z107" s="136">
        <f>IF(AQ107="5",BJ107,0)</f>
      </c>
      <c r="AB107" s="136">
        <f>IF(AQ107="1",BH107,0)</f>
      </c>
      <c r="AC107" s="136">
        <f>IF(AQ107="1",BI107,0)</f>
      </c>
      <c r="AD107" s="136">
        <f>IF(AQ107="7",BH107,0)</f>
      </c>
      <c r="AE107" s="136">
        <f>IF(AQ107="7",BI107,0)</f>
      </c>
      <c r="AF107" s="136">
        <f>IF(AQ107="2",BH107,0)</f>
      </c>
      <c r="AG107" s="136">
        <f>IF(AQ107="2",BI107,0)</f>
      </c>
      <c r="AH107" s="136">
        <f>IF(AQ107="0",BJ107,0)</f>
      </c>
      <c r="AI107" s="112" t="s">
        <v>10</v>
      </c>
      <c r="AJ107" s="136">
        <f>IF(AN107=0,J107,0)</f>
      </c>
      <c r="AK107" s="136">
        <f>IF(AN107=12,J107,0)</f>
      </c>
      <c r="AL107" s="136">
        <f>IF(AN107=21,J107,0)</f>
      </c>
      <c r="AN107" s="136" t="n">
        <v>21</v>
      </c>
      <c r="AO107" s="136">
        <f>G107*0.911696284</f>
      </c>
      <c r="AP107" s="136">
        <f>G107*(1-0.911696284)</f>
      </c>
      <c r="AQ107" s="139" t="s">
        <v>112</v>
      </c>
      <c r="AV107" s="136">
        <f>AW107+AX107</f>
      </c>
      <c r="AW107" s="136">
        <f>F107*AO107</f>
      </c>
      <c r="AX107" s="136">
        <f>F107*AP107</f>
      </c>
      <c r="AY107" s="139" t="s">
        <v>315</v>
      </c>
      <c r="AZ107" s="139" t="s">
        <v>290</v>
      </c>
      <c r="BA107" s="112" t="s">
        <v>119</v>
      </c>
      <c r="BC107" s="136">
        <f>AW107+AX107</f>
      </c>
      <c r="BD107" s="136">
        <f>G107/(100-BE107)*100</f>
      </c>
      <c r="BE107" s="136" t="n">
        <v>0</v>
      </c>
      <c r="BF107" s="136">
        <f>107</f>
      </c>
      <c r="BH107" s="136">
        <f>F107*AO107</f>
      </c>
      <c r="BI107" s="136">
        <f>F107*AP107</f>
      </c>
      <c r="BJ107" s="136">
        <f>F107*G107</f>
      </c>
      <c r="BK107" s="136"/>
      <c r="BL107" s="136" t="n">
        <v>57</v>
      </c>
      <c r="BW107" s="136" t="n">
        <v>21</v>
      </c>
      <c r="BX107" s="14" t="s">
        <v>314</v>
      </c>
    </row>
    <row r="108">
      <c r="A108" s="9" t="s">
        <v>284</v>
      </c>
      <c r="B108" s="10" t="s">
        <v>316</v>
      </c>
      <c r="C108" s="14" t="s">
        <v>317</v>
      </c>
      <c r="D108" s="10"/>
      <c r="E108" s="10" t="s">
        <v>135</v>
      </c>
      <c r="F108" s="136" t="n">
        <v>4958</v>
      </c>
      <c r="G108" s="137" t="n">
        <v>0</v>
      </c>
      <c r="H108" s="136">
        <f>F108*AO108</f>
      </c>
      <c r="I108" s="136">
        <f>F108*AP108</f>
      </c>
      <c r="J108" s="136">
        <f>F108*G108</f>
      </c>
      <c r="K108" s="138" t="s">
        <v>116</v>
      </c>
      <c r="Z108" s="136">
        <f>IF(AQ108="5",BJ108,0)</f>
      </c>
      <c r="AB108" s="136">
        <f>IF(AQ108="1",BH108,0)</f>
      </c>
      <c r="AC108" s="136">
        <f>IF(AQ108="1",BI108,0)</f>
      </c>
      <c r="AD108" s="136">
        <f>IF(AQ108="7",BH108,0)</f>
      </c>
      <c r="AE108" s="136">
        <f>IF(AQ108="7",BI108,0)</f>
      </c>
      <c r="AF108" s="136">
        <f>IF(AQ108="2",BH108,0)</f>
      </c>
      <c r="AG108" s="136">
        <f>IF(AQ108="2",BI108,0)</f>
      </c>
      <c r="AH108" s="136">
        <f>IF(AQ108="0",BJ108,0)</f>
      </c>
      <c r="AI108" s="112" t="s">
        <v>10</v>
      </c>
      <c r="AJ108" s="136">
        <f>IF(AN108=0,J108,0)</f>
      </c>
      <c r="AK108" s="136">
        <f>IF(AN108=12,J108,0)</f>
      </c>
      <c r="AL108" s="136">
        <f>IF(AN108=21,J108,0)</f>
      </c>
      <c r="AN108" s="136" t="n">
        <v>21</v>
      </c>
      <c r="AO108" s="136">
        <f>G108*0.738333333</f>
      </c>
      <c r="AP108" s="136">
        <f>G108*(1-0.738333333)</f>
      </c>
      <c r="AQ108" s="139" t="s">
        <v>112</v>
      </c>
      <c r="AV108" s="136">
        <f>AW108+AX108</f>
      </c>
      <c r="AW108" s="136">
        <f>F108*AO108</f>
      </c>
      <c r="AX108" s="136">
        <f>F108*AP108</f>
      </c>
      <c r="AY108" s="139" t="s">
        <v>315</v>
      </c>
      <c r="AZ108" s="139" t="s">
        <v>290</v>
      </c>
      <c r="BA108" s="112" t="s">
        <v>119</v>
      </c>
      <c r="BC108" s="136">
        <f>AW108+AX108</f>
      </c>
      <c r="BD108" s="136">
        <f>G108/(100-BE108)*100</f>
      </c>
      <c r="BE108" s="136" t="n">
        <v>0</v>
      </c>
      <c r="BF108" s="136">
        <f>108</f>
      </c>
      <c r="BH108" s="136">
        <f>F108*AO108</f>
      </c>
      <c r="BI108" s="136">
        <f>F108*AP108</f>
      </c>
      <c r="BJ108" s="136">
        <f>F108*G108</f>
      </c>
      <c r="BK108" s="136"/>
      <c r="BL108" s="136" t="n">
        <v>57</v>
      </c>
      <c r="BW108" s="136" t="n">
        <v>21</v>
      </c>
      <c r="BX108" s="14" t="s">
        <v>317</v>
      </c>
    </row>
    <row r="109">
      <c r="A109" s="9" t="s">
        <v>310</v>
      </c>
      <c r="B109" s="10" t="s">
        <v>318</v>
      </c>
      <c r="C109" s="14" t="s">
        <v>319</v>
      </c>
      <c r="D109" s="10"/>
      <c r="E109" s="10" t="s">
        <v>135</v>
      </c>
      <c r="F109" s="136" t="n">
        <v>2984</v>
      </c>
      <c r="G109" s="137" t="n">
        <v>0</v>
      </c>
      <c r="H109" s="136">
        <f>F109*AO109</f>
      </c>
      <c r="I109" s="136">
        <f>F109*AP109</f>
      </c>
      <c r="J109" s="136">
        <f>F109*G109</f>
      </c>
      <c r="K109" s="138" t="s">
        <v>116</v>
      </c>
      <c r="Z109" s="136">
        <f>IF(AQ109="5",BJ109,0)</f>
      </c>
      <c r="AB109" s="136">
        <f>IF(AQ109="1",BH109,0)</f>
      </c>
      <c r="AC109" s="136">
        <f>IF(AQ109="1",BI109,0)</f>
      </c>
      <c r="AD109" s="136">
        <f>IF(AQ109="7",BH109,0)</f>
      </c>
      <c r="AE109" s="136">
        <f>IF(AQ109="7",BI109,0)</f>
      </c>
      <c r="AF109" s="136">
        <f>IF(AQ109="2",BH109,0)</f>
      </c>
      <c r="AG109" s="136">
        <f>IF(AQ109="2",BI109,0)</f>
      </c>
      <c r="AH109" s="136">
        <f>IF(AQ109="0",BJ109,0)</f>
      </c>
      <c r="AI109" s="112" t="s">
        <v>10</v>
      </c>
      <c r="AJ109" s="136">
        <f>IF(AN109=0,J109,0)</f>
      </c>
      <c r="AK109" s="136">
        <f>IF(AN109=12,J109,0)</f>
      </c>
      <c r="AL109" s="136">
        <f>IF(AN109=21,J109,0)</f>
      </c>
      <c r="AN109" s="136" t="n">
        <v>21</v>
      </c>
      <c r="AO109" s="136">
        <f>G109*0.91039823</f>
      </c>
      <c r="AP109" s="136">
        <f>G109*(1-0.91039823)</f>
      </c>
      <c r="AQ109" s="139" t="s">
        <v>112</v>
      </c>
      <c r="AV109" s="136">
        <f>AW109+AX109</f>
      </c>
      <c r="AW109" s="136">
        <f>F109*AO109</f>
      </c>
      <c r="AX109" s="136">
        <f>F109*AP109</f>
      </c>
      <c r="AY109" s="139" t="s">
        <v>315</v>
      </c>
      <c r="AZ109" s="139" t="s">
        <v>290</v>
      </c>
      <c r="BA109" s="112" t="s">
        <v>119</v>
      </c>
      <c r="BC109" s="136">
        <f>AW109+AX109</f>
      </c>
      <c r="BD109" s="136">
        <f>G109/(100-BE109)*100</f>
      </c>
      <c r="BE109" s="136" t="n">
        <v>0</v>
      </c>
      <c r="BF109" s="136">
        <f>109</f>
      </c>
      <c r="BH109" s="136">
        <f>F109*AO109</f>
      </c>
      <c r="BI109" s="136">
        <f>F109*AP109</f>
      </c>
      <c r="BJ109" s="136">
        <f>F109*G109</f>
      </c>
      <c r="BK109" s="136"/>
      <c r="BL109" s="136" t="n">
        <v>57</v>
      </c>
      <c r="BW109" s="136" t="n">
        <v>21</v>
      </c>
      <c r="BX109" s="14" t="s">
        <v>319</v>
      </c>
    </row>
    <row r="110">
      <c r="A110" s="140"/>
      <c r="B110" s="141" t="s">
        <v>131</v>
      </c>
      <c r="C110" s="142" t="s">
        <v>320</v>
      </c>
      <c r="D110" s="143"/>
      <c r="E110" s="143"/>
      <c r="F110" s="143"/>
      <c r="G110" s="144"/>
      <c r="H110" s="143"/>
      <c r="I110" s="143"/>
      <c r="J110" s="143"/>
      <c r="K110" s="145"/>
      <c r="BX110" s="142" t="s">
        <v>320</v>
      </c>
    </row>
    <row r="111">
      <c r="A111" s="9" t="s">
        <v>321</v>
      </c>
      <c r="B111" s="10" t="s">
        <v>322</v>
      </c>
      <c r="C111" s="14" t="s">
        <v>323</v>
      </c>
      <c r="D111" s="10"/>
      <c r="E111" s="10" t="s">
        <v>135</v>
      </c>
      <c r="F111" s="136" t="n">
        <v>2071</v>
      </c>
      <c r="G111" s="137" t="n">
        <v>0</v>
      </c>
      <c r="H111" s="136">
        <f>F111*AO111</f>
      </c>
      <c r="I111" s="136">
        <f>F111*AP111</f>
      </c>
      <c r="J111" s="136">
        <f>F111*G111</f>
      </c>
      <c r="K111" s="138" t="s">
        <v>116</v>
      </c>
      <c r="Z111" s="136">
        <f>IF(AQ111="5",BJ111,0)</f>
      </c>
      <c r="AB111" s="136">
        <f>IF(AQ111="1",BH111,0)</f>
      </c>
      <c r="AC111" s="136">
        <f>IF(AQ111="1",BI111,0)</f>
      </c>
      <c r="AD111" s="136">
        <f>IF(AQ111="7",BH111,0)</f>
      </c>
      <c r="AE111" s="136">
        <f>IF(AQ111="7",BI111,0)</f>
      </c>
      <c r="AF111" s="136">
        <f>IF(AQ111="2",BH111,0)</f>
      </c>
      <c r="AG111" s="136">
        <f>IF(AQ111="2",BI111,0)</f>
      </c>
      <c r="AH111" s="136">
        <f>IF(AQ111="0",BJ111,0)</f>
      </c>
      <c r="AI111" s="112" t="s">
        <v>10</v>
      </c>
      <c r="AJ111" s="136">
        <f>IF(AN111=0,J111,0)</f>
      </c>
      <c r="AK111" s="136">
        <f>IF(AN111=12,J111,0)</f>
      </c>
      <c r="AL111" s="136">
        <f>IF(AN111=21,J111,0)</f>
      </c>
      <c r="AN111" s="136" t="n">
        <v>21</v>
      </c>
      <c r="AO111" s="136">
        <f>G111*0.907708333</f>
      </c>
      <c r="AP111" s="136">
        <f>G111*(1-0.907708333)</f>
      </c>
      <c r="AQ111" s="139" t="s">
        <v>112</v>
      </c>
      <c r="AV111" s="136">
        <f>AW111+AX111</f>
      </c>
      <c r="AW111" s="136">
        <f>F111*AO111</f>
      </c>
      <c r="AX111" s="136">
        <f>F111*AP111</f>
      </c>
      <c r="AY111" s="139" t="s">
        <v>315</v>
      </c>
      <c r="AZ111" s="139" t="s">
        <v>290</v>
      </c>
      <c r="BA111" s="112" t="s">
        <v>119</v>
      </c>
      <c r="BC111" s="136">
        <f>AW111+AX111</f>
      </c>
      <c r="BD111" s="136">
        <f>G111/(100-BE111)*100</f>
      </c>
      <c r="BE111" s="136" t="n">
        <v>0</v>
      </c>
      <c r="BF111" s="136">
        <f>111</f>
      </c>
      <c r="BH111" s="136">
        <f>F111*AO111</f>
      </c>
      <c r="BI111" s="136">
        <f>F111*AP111</f>
      </c>
      <c r="BJ111" s="136">
        <f>F111*G111</f>
      </c>
      <c r="BK111" s="136"/>
      <c r="BL111" s="136" t="n">
        <v>57</v>
      </c>
      <c r="BW111" s="136" t="n">
        <v>21</v>
      </c>
      <c r="BX111" s="14" t="s">
        <v>323</v>
      </c>
    </row>
    <row r="112">
      <c r="A112" s="9" t="s">
        <v>324</v>
      </c>
      <c r="B112" s="10" t="s">
        <v>325</v>
      </c>
      <c r="C112" s="14" t="s">
        <v>326</v>
      </c>
      <c r="D112" s="10"/>
      <c r="E112" s="10" t="s">
        <v>135</v>
      </c>
      <c r="F112" s="136" t="n">
        <v>816</v>
      </c>
      <c r="G112" s="137" t="n">
        <v>0</v>
      </c>
      <c r="H112" s="136">
        <f>F112*AO112</f>
      </c>
      <c r="I112" s="136">
        <f>F112*AP112</f>
      </c>
      <c r="J112" s="136">
        <f>F112*G112</f>
      </c>
      <c r="K112" s="138" t="s">
        <v>116</v>
      </c>
      <c r="Z112" s="136">
        <f>IF(AQ112="5",BJ112,0)</f>
      </c>
      <c r="AB112" s="136">
        <f>IF(AQ112="1",BH112,0)</f>
      </c>
      <c r="AC112" s="136">
        <f>IF(AQ112="1",BI112,0)</f>
      </c>
      <c r="AD112" s="136">
        <f>IF(AQ112="7",BH112,0)</f>
      </c>
      <c r="AE112" s="136">
        <f>IF(AQ112="7",BI112,0)</f>
      </c>
      <c r="AF112" s="136">
        <f>IF(AQ112="2",BH112,0)</f>
      </c>
      <c r="AG112" s="136">
        <f>IF(AQ112="2",BI112,0)</f>
      </c>
      <c r="AH112" s="136">
        <f>IF(AQ112="0",BJ112,0)</f>
      </c>
      <c r="AI112" s="112" t="s">
        <v>10</v>
      </c>
      <c r="AJ112" s="136">
        <f>IF(AN112=0,J112,0)</f>
      </c>
      <c r="AK112" s="136">
        <f>IF(AN112=12,J112,0)</f>
      </c>
      <c r="AL112" s="136">
        <f>IF(AN112=21,J112,0)</f>
      </c>
      <c r="AN112" s="136" t="n">
        <v>21</v>
      </c>
      <c r="AO112" s="136">
        <f>G112*0.627007168</f>
      </c>
      <c r="AP112" s="136">
        <f>G112*(1-0.627007168)</f>
      </c>
      <c r="AQ112" s="139" t="s">
        <v>112</v>
      </c>
      <c r="AV112" s="136">
        <f>AW112+AX112</f>
      </c>
      <c r="AW112" s="136">
        <f>F112*AO112</f>
      </c>
      <c r="AX112" s="136">
        <f>F112*AP112</f>
      </c>
      <c r="AY112" s="139" t="s">
        <v>315</v>
      </c>
      <c r="AZ112" s="139" t="s">
        <v>290</v>
      </c>
      <c r="BA112" s="112" t="s">
        <v>119</v>
      </c>
      <c r="BC112" s="136">
        <f>AW112+AX112</f>
      </c>
      <c r="BD112" s="136">
        <f>G112/(100-BE112)*100</f>
      </c>
      <c r="BE112" s="136" t="n">
        <v>0</v>
      </c>
      <c r="BF112" s="136">
        <f>112</f>
      </c>
      <c r="BH112" s="136">
        <f>F112*AO112</f>
      </c>
      <c r="BI112" s="136">
        <f>F112*AP112</f>
      </c>
      <c r="BJ112" s="136">
        <f>F112*G112</f>
      </c>
      <c r="BK112" s="136"/>
      <c r="BL112" s="136" t="n">
        <v>57</v>
      </c>
      <c r="BW112" s="136" t="n">
        <v>21</v>
      </c>
      <c r="BX112" s="14" t="s">
        <v>326</v>
      </c>
    </row>
    <row r="113" customHeight="true" ht="13.5">
      <c r="A113" s="140"/>
      <c r="B113" s="141" t="s">
        <v>209</v>
      </c>
      <c r="C113" s="142" t="s">
        <v>327</v>
      </c>
      <c r="D113" s="143"/>
      <c r="E113" s="143"/>
      <c r="F113" s="143"/>
      <c r="G113" s="144"/>
      <c r="H113" s="143"/>
      <c r="I113" s="143"/>
      <c r="J113" s="143"/>
      <c r="K113" s="145"/>
    </row>
    <row r="114">
      <c r="A114" s="9" t="s">
        <v>328</v>
      </c>
      <c r="B114" s="10" t="s">
        <v>329</v>
      </c>
      <c r="C114" s="14" t="s">
        <v>330</v>
      </c>
      <c r="D114" s="10"/>
      <c r="E114" s="10" t="s">
        <v>135</v>
      </c>
      <c r="F114" s="136" t="n">
        <v>816</v>
      </c>
      <c r="G114" s="137" t="n">
        <v>0</v>
      </c>
      <c r="H114" s="136">
        <f>F114*AO114</f>
      </c>
      <c r="I114" s="136">
        <f>F114*AP114</f>
      </c>
      <c r="J114" s="136">
        <f>F114*G114</f>
      </c>
      <c r="K114" s="138" t="s">
        <v>116</v>
      </c>
      <c r="Z114" s="136">
        <f>IF(AQ114="5",BJ114,0)</f>
      </c>
      <c r="AB114" s="136">
        <f>IF(AQ114="1",BH114,0)</f>
      </c>
      <c r="AC114" s="136">
        <f>IF(AQ114="1",BI114,0)</f>
      </c>
      <c r="AD114" s="136">
        <f>IF(AQ114="7",BH114,0)</f>
      </c>
      <c r="AE114" s="136">
        <f>IF(AQ114="7",BI114,0)</f>
      </c>
      <c r="AF114" s="136">
        <f>IF(AQ114="2",BH114,0)</f>
      </c>
      <c r="AG114" s="136">
        <f>IF(AQ114="2",BI114,0)</f>
      </c>
      <c r="AH114" s="136">
        <f>IF(AQ114="0",BJ114,0)</f>
      </c>
      <c r="AI114" s="112" t="s">
        <v>10</v>
      </c>
      <c r="AJ114" s="136">
        <f>IF(AN114=0,J114,0)</f>
      </c>
      <c r="AK114" s="136">
        <f>IF(AN114=12,J114,0)</f>
      </c>
      <c r="AL114" s="136">
        <f>IF(AN114=21,J114,0)</f>
      </c>
      <c r="AN114" s="136" t="n">
        <v>21</v>
      </c>
      <c r="AO114" s="136">
        <f>G114*0.228211382</f>
      </c>
      <c r="AP114" s="136">
        <f>G114*(1-0.228211382)</f>
      </c>
      <c r="AQ114" s="139" t="s">
        <v>112</v>
      </c>
      <c r="AV114" s="136">
        <f>AW114+AX114</f>
      </c>
      <c r="AW114" s="136">
        <f>F114*AO114</f>
      </c>
      <c r="AX114" s="136">
        <f>F114*AP114</f>
      </c>
      <c r="AY114" s="139" t="s">
        <v>315</v>
      </c>
      <c r="AZ114" s="139" t="s">
        <v>290</v>
      </c>
      <c r="BA114" s="112" t="s">
        <v>119</v>
      </c>
      <c r="BC114" s="136">
        <f>AW114+AX114</f>
      </c>
      <c r="BD114" s="136">
        <f>G114/(100-BE114)*100</f>
      </c>
      <c r="BE114" s="136" t="n">
        <v>0</v>
      </c>
      <c r="BF114" s="136">
        <f>114</f>
      </c>
      <c r="BH114" s="136">
        <f>F114*AO114</f>
      </c>
      <c r="BI114" s="136">
        <f>F114*AP114</f>
      </c>
      <c r="BJ114" s="136">
        <f>F114*G114</f>
      </c>
      <c r="BK114" s="136"/>
      <c r="BL114" s="136" t="n">
        <v>57</v>
      </c>
      <c r="BW114" s="136" t="n">
        <v>21</v>
      </c>
      <c r="BX114" s="14" t="s">
        <v>330</v>
      </c>
    </row>
    <row r="115">
      <c r="A115" s="140"/>
      <c r="B115" s="141" t="s">
        <v>131</v>
      </c>
      <c r="C115" s="142" t="s">
        <v>331</v>
      </c>
      <c r="D115" s="143"/>
      <c r="E115" s="143"/>
      <c r="F115" s="143"/>
      <c r="G115" s="144"/>
      <c r="H115" s="143"/>
      <c r="I115" s="143"/>
      <c r="J115" s="143"/>
      <c r="K115" s="145"/>
      <c r="BX115" s="142" t="s">
        <v>331</v>
      </c>
    </row>
    <row r="116">
      <c r="A116" s="130" t="s">
        <v>10</v>
      </c>
      <c r="B116" s="131" t="s">
        <v>324</v>
      </c>
      <c r="C116" s="132" t="s">
        <v>332</v>
      </c>
      <c r="D116" s="131"/>
      <c r="E116" s="133" t="s">
        <v>74</v>
      </c>
      <c r="F116" s="133" t="s">
        <v>74</v>
      </c>
      <c r="G116" s="134" t="s">
        <v>74</v>
      </c>
      <c r="H116" s="94">
        <f>SUM(H117:H129)</f>
      </c>
      <c r="I116" s="94">
        <f>SUM(I117:I129)</f>
      </c>
      <c r="J116" s="94">
        <f>SUM(J117:J129)</f>
      </c>
      <c r="K116" s="135" t="s">
        <v>10</v>
      </c>
      <c r="AI116" s="112" t="s">
        <v>10</v>
      </c>
      <c r="AS116" s="94">
        <f>SUM(AJ117:AJ129)</f>
      </c>
      <c r="AT116" s="94">
        <f>SUM(AK117:AK129)</f>
      </c>
      <c r="AU116" s="94">
        <f>SUM(AL117:AL129)</f>
      </c>
    </row>
    <row r="117">
      <c r="A117" s="9" t="s">
        <v>333</v>
      </c>
      <c r="B117" s="10" t="s">
        <v>334</v>
      </c>
      <c r="C117" s="14" t="s">
        <v>335</v>
      </c>
      <c r="D117" s="10"/>
      <c r="E117" s="10" t="s">
        <v>135</v>
      </c>
      <c r="F117" s="136" t="n">
        <v>322</v>
      </c>
      <c r="G117" s="137" t="n">
        <v>0</v>
      </c>
      <c r="H117" s="136">
        <f>F117*AO117</f>
      </c>
      <c r="I117" s="136">
        <f>F117*AP117</f>
      </c>
      <c r="J117" s="136">
        <f>F117*G117</f>
      </c>
      <c r="K117" s="138" t="s">
        <v>116</v>
      </c>
      <c r="Z117" s="136">
        <f>IF(AQ117="5",BJ117,0)</f>
      </c>
      <c r="AB117" s="136">
        <f>IF(AQ117="1",BH117,0)</f>
      </c>
      <c r="AC117" s="136">
        <f>IF(AQ117="1",BI117,0)</f>
      </c>
      <c r="AD117" s="136">
        <f>IF(AQ117="7",BH117,0)</f>
      </c>
      <c r="AE117" s="136">
        <f>IF(AQ117="7",BI117,0)</f>
      </c>
      <c r="AF117" s="136">
        <f>IF(AQ117="2",BH117,0)</f>
      </c>
      <c r="AG117" s="136">
        <f>IF(AQ117="2",BI117,0)</f>
      </c>
      <c r="AH117" s="136">
        <f>IF(AQ117="0",BJ117,0)</f>
      </c>
      <c r="AI117" s="112" t="s">
        <v>10</v>
      </c>
      <c r="AJ117" s="136">
        <f>IF(AN117=0,J117,0)</f>
      </c>
      <c r="AK117" s="136">
        <f>IF(AN117=12,J117,0)</f>
      </c>
      <c r="AL117" s="136">
        <f>IF(AN117=21,J117,0)</f>
      </c>
      <c r="AN117" s="136" t="n">
        <v>21</v>
      </c>
      <c r="AO117" s="136">
        <f>G117*0.070769231</f>
      </c>
      <c r="AP117" s="136">
        <f>G117*(1-0.070769231)</f>
      </c>
      <c r="AQ117" s="139" t="s">
        <v>112</v>
      </c>
      <c r="AV117" s="136">
        <f>AW117+AX117</f>
      </c>
      <c r="AW117" s="136">
        <f>F117*AO117</f>
      </c>
      <c r="AX117" s="136">
        <f>F117*AP117</f>
      </c>
      <c r="AY117" s="139" t="s">
        <v>336</v>
      </c>
      <c r="AZ117" s="139" t="s">
        <v>290</v>
      </c>
      <c r="BA117" s="112" t="s">
        <v>119</v>
      </c>
      <c r="BC117" s="136">
        <f>AW117+AX117</f>
      </c>
      <c r="BD117" s="136">
        <f>G117/(100-BE117)*100</f>
      </c>
      <c r="BE117" s="136" t="n">
        <v>0</v>
      </c>
      <c r="BF117" s="136">
        <f>117</f>
      </c>
      <c r="BH117" s="136">
        <f>F117*AO117</f>
      </c>
      <c r="BI117" s="136">
        <f>F117*AP117</f>
      </c>
      <c r="BJ117" s="136">
        <f>F117*G117</f>
      </c>
      <c r="BK117" s="136"/>
      <c r="BL117" s="136" t="n">
        <v>59</v>
      </c>
      <c r="BW117" s="136" t="n">
        <v>21</v>
      </c>
      <c r="BX117" s="14" t="s">
        <v>335</v>
      </c>
    </row>
    <row r="118">
      <c r="A118" s="9" t="s">
        <v>337</v>
      </c>
      <c r="B118" s="10" t="s">
        <v>338</v>
      </c>
      <c r="C118" s="14" t="s">
        <v>339</v>
      </c>
      <c r="D118" s="10"/>
      <c r="E118" s="10" t="s">
        <v>200</v>
      </c>
      <c r="F118" s="136" t="n">
        <v>5780.544</v>
      </c>
      <c r="G118" s="137" t="n">
        <v>0</v>
      </c>
      <c r="H118" s="136">
        <f>F118*AO118</f>
      </c>
      <c r="I118" s="136">
        <f>F118*AP118</f>
      </c>
      <c r="J118" s="136">
        <f>F118*G118</f>
      </c>
      <c r="K118" s="138" t="s">
        <v>116</v>
      </c>
      <c r="Z118" s="136">
        <f>IF(AQ118="5",BJ118,0)</f>
      </c>
      <c r="AB118" s="136">
        <f>IF(AQ118="1",BH118,0)</f>
      </c>
      <c r="AC118" s="136">
        <f>IF(AQ118="1",BI118,0)</f>
      </c>
      <c r="AD118" s="136">
        <f>IF(AQ118="7",BH118,0)</f>
      </c>
      <c r="AE118" s="136">
        <f>IF(AQ118="7",BI118,0)</f>
      </c>
      <c r="AF118" s="136">
        <f>IF(AQ118="2",BH118,0)</f>
      </c>
      <c r="AG118" s="136">
        <f>IF(AQ118="2",BI118,0)</f>
      </c>
      <c r="AH118" s="136">
        <f>IF(AQ118="0",BJ118,0)</f>
      </c>
      <c r="AI118" s="112" t="s">
        <v>10</v>
      </c>
      <c r="AJ118" s="136">
        <f>IF(AN118=0,J118,0)</f>
      </c>
      <c r="AK118" s="136">
        <f>IF(AN118=12,J118,0)</f>
      </c>
      <c r="AL118" s="136">
        <f>IF(AN118=21,J118,0)</f>
      </c>
      <c r="AN118" s="136" t="n">
        <v>21</v>
      </c>
      <c r="AO118" s="136">
        <f>G118*1</f>
      </c>
      <c r="AP118" s="136">
        <f>G118*(1-1)</f>
      </c>
      <c r="AQ118" s="139" t="s">
        <v>112</v>
      </c>
      <c r="AV118" s="136">
        <f>AW118+AX118</f>
      </c>
      <c r="AW118" s="136">
        <f>F118*AO118</f>
      </c>
      <c r="AX118" s="136">
        <f>F118*AP118</f>
      </c>
      <c r="AY118" s="139" t="s">
        <v>336</v>
      </c>
      <c r="AZ118" s="139" t="s">
        <v>290</v>
      </c>
      <c r="BA118" s="112" t="s">
        <v>119</v>
      </c>
      <c r="BC118" s="136">
        <f>AW118+AX118</f>
      </c>
      <c r="BD118" s="136">
        <f>G118/(100-BE118)*100</f>
      </c>
      <c r="BE118" s="136" t="n">
        <v>0</v>
      </c>
      <c r="BF118" s="136">
        <f>118</f>
      </c>
      <c r="BH118" s="136">
        <f>F118*AO118</f>
      </c>
      <c r="BI118" s="136">
        <f>F118*AP118</f>
      </c>
      <c r="BJ118" s="136">
        <f>F118*G118</f>
      </c>
      <c r="BK118" s="136"/>
      <c r="BL118" s="136" t="n">
        <v>59</v>
      </c>
      <c r="BW118" s="136" t="n">
        <v>21</v>
      </c>
      <c r="BX118" s="14" t="s">
        <v>339</v>
      </c>
    </row>
    <row r="119">
      <c r="A119" s="140"/>
      <c r="B119" s="141" t="s">
        <v>131</v>
      </c>
      <c r="C119" s="142" t="s">
        <v>340</v>
      </c>
      <c r="D119" s="143"/>
      <c r="E119" s="143"/>
      <c r="F119" s="143"/>
      <c r="G119" s="144"/>
      <c r="H119" s="143"/>
      <c r="I119" s="143"/>
      <c r="J119" s="143"/>
      <c r="K119" s="145"/>
      <c r="BX119" s="142" t="s">
        <v>340</v>
      </c>
    </row>
    <row r="120">
      <c r="A120" s="9" t="s">
        <v>341</v>
      </c>
      <c r="B120" s="10" t="s">
        <v>342</v>
      </c>
      <c r="C120" s="14" t="s">
        <v>343</v>
      </c>
      <c r="D120" s="10"/>
      <c r="E120" s="10" t="s">
        <v>135</v>
      </c>
      <c r="F120" s="136" t="n">
        <v>46</v>
      </c>
      <c r="G120" s="137" t="n">
        <v>0</v>
      </c>
      <c r="H120" s="136">
        <f>F120*AO120</f>
      </c>
      <c r="I120" s="136">
        <f>F120*AP120</f>
      </c>
      <c r="J120" s="136">
        <f>F120*G120</f>
      </c>
      <c r="K120" s="138" t="s">
        <v>116</v>
      </c>
      <c r="Z120" s="136">
        <f>IF(AQ120="5",BJ120,0)</f>
      </c>
      <c r="AB120" s="136">
        <f>IF(AQ120="1",BH120,0)</f>
      </c>
      <c r="AC120" s="136">
        <f>IF(AQ120="1",BI120,0)</f>
      </c>
      <c r="AD120" s="136">
        <f>IF(AQ120="7",BH120,0)</f>
      </c>
      <c r="AE120" s="136">
        <f>IF(AQ120="7",BI120,0)</f>
      </c>
      <c r="AF120" s="136">
        <f>IF(AQ120="2",BH120,0)</f>
      </c>
      <c r="AG120" s="136">
        <f>IF(AQ120="2",BI120,0)</f>
      </c>
      <c r="AH120" s="136">
        <f>IF(AQ120="0",BJ120,0)</f>
      </c>
      <c r="AI120" s="112" t="s">
        <v>10</v>
      </c>
      <c r="AJ120" s="136">
        <f>IF(AN120=0,J120,0)</f>
      </c>
      <c r="AK120" s="136">
        <f>IF(AN120=12,J120,0)</f>
      </c>
      <c r="AL120" s="136">
        <f>IF(AN120=21,J120,0)</f>
      </c>
      <c r="AN120" s="136" t="n">
        <v>21</v>
      </c>
      <c r="AO120" s="136">
        <f>G120*0.135304136</f>
      </c>
      <c r="AP120" s="136">
        <f>G120*(1-0.135304136)</f>
      </c>
      <c r="AQ120" s="139" t="s">
        <v>112</v>
      </c>
      <c r="AV120" s="136">
        <f>AW120+AX120</f>
      </c>
      <c r="AW120" s="136">
        <f>F120*AO120</f>
      </c>
      <c r="AX120" s="136">
        <f>F120*AP120</f>
      </c>
      <c r="AY120" s="139" t="s">
        <v>336</v>
      </c>
      <c r="AZ120" s="139" t="s">
        <v>290</v>
      </c>
      <c r="BA120" s="112" t="s">
        <v>119</v>
      </c>
      <c r="BC120" s="136">
        <f>AW120+AX120</f>
      </c>
      <c r="BD120" s="136">
        <f>G120/(100-BE120)*100</f>
      </c>
      <c r="BE120" s="136" t="n">
        <v>0</v>
      </c>
      <c r="BF120" s="136">
        <f>120</f>
      </c>
      <c r="BH120" s="136">
        <f>F120*AO120</f>
      </c>
      <c r="BI120" s="136">
        <f>F120*AP120</f>
      </c>
      <c r="BJ120" s="136">
        <f>F120*G120</f>
      </c>
      <c r="BK120" s="136"/>
      <c r="BL120" s="136" t="n">
        <v>59</v>
      </c>
      <c r="BW120" s="136" t="n">
        <v>21</v>
      </c>
      <c r="BX120" s="14" t="s">
        <v>343</v>
      </c>
    </row>
    <row r="121" ht="24.75">
      <c r="A121" s="140"/>
      <c r="B121" s="141" t="s">
        <v>131</v>
      </c>
      <c r="C121" s="142" t="s">
        <v>344</v>
      </c>
      <c r="D121" s="143"/>
      <c r="E121" s="143"/>
      <c r="F121" s="143"/>
      <c r="G121" s="144"/>
      <c r="H121" s="143"/>
      <c r="I121" s="143"/>
      <c r="J121" s="143"/>
      <c r="K121" s="145"/>
      <c r="BX121" s="142" t="s">
        <v>344</v>
      </c>
    </row>
    <row r="122">
      <c r="A122" s="9" t="s">
        <v>345</v>
      </c>
      <c r="B122" s="10" t="s">
        <v>346</v>
      </c>
      <c r="C122" s="14" t="s">
        <v>347</v>
      </c>
      <c r="D122" s="10"/>
      <c r="E122" s="10" t="s">
        <v>135</v>
      </c>
      <c r="F122" s="136" t="n">
        <v>46.92</v>
      </c>
      <c r="G122" s="137" t="n">
        <v>0</v>
      </c>
      <c r="H122" s="136">
        <f>F122*AO122</f>
      </c>
      <c r="I122" s="136">
        <f>F122*AP122</f>
      </c>
      <c r="J122" s="136">
        <f>F122*G122</f>
      </c>
      <c r="K122" s="138" t="s">
        <v>116</v>
      </c>
      <c r="Z122" s="136">
        <f>IF(AQ122="5",BJ122,0)</f>
      </c>
      <c r="AB122" s="136">
        <f>IF(AQ122="1",BH122,0)</f>
      </c>
      <c r="AC122" s="136">
        <f>IF(AQ122="1",BI122,0)</f>
      </c>
      <c r="AD122" s="136">
        <f>IF(AQ122="7",BH122,0)</f>
      </c>
      <c r="AE122" s="136">
        <f>IF(AQ122="7",BI122,0)</f>
      </c>
      <c r="AF122" s="136">
        <f>IF(AQ122="2",BH122,0)</f>
      </c>
      <c r="AG122" s="136">
        <f>IF(AQ122="2",BI122,0)</f>
      </c>
      <c r="AH122" s="136">
        <f>IF(AQ122="0",BJ122,0)</f>
      </c>
      <c r="AI122" s="112" t="s">
        <v>10</v>
      </c>
      <c r="AJ122" s="136">
        <f>IF(AN122=0,J122,0)</f>
      </c>
      <c r="AK122" s="136">
        <f>IF(AN122=12,J122,0)</f>
      </c>
      <c r="AL122" s="136">
        <f>IF(AN122=21,J122,0)</f>
      </c>
      <c r="AN122" s="136" t="n">
        <v>21</v>
      </c>
      <c r="AO122" s="136">
        <f>G122*1</f>
      </c>
      <c r="AP122" s="136">
        <f>G122*(1-1)</f>
      </c>
      <c r="AQ122" s="139" t="s">
        <v>112</v>
      </c>
      <c r="AV122" s="136">
        <f>AW122+AX122</f>
      </c>
      <c r="AW122" s="136">
        <f>F122*AO122</f>
      </c>
      <c r="AX122" s="136">
        <f>F122*AP122</f>
      </c>
      <c r="AY122" s="139" t="s">
        <v>336</v>
      </c>
      <c r="AZ122" s="139" t="s">
        <v>290</v>
      </c>
      <c r="BA122" s="112" t="s">
        <v>119</v>
      </c>
      <c r="BC122" s="136">
        <f>AW122+AX122</f>
      </c>
      <c r="BD122" s="136">
        <f>G122/(100-BE122)*100</f>
      </c>
      <c r="BE122" s="136" t="n">
        <v>0</v>
      </c>
      <c r="BF122" s="136">
        <f>122</f>
      </c>
      <c r="BH122" s="136">
        <f>F122*AO122</f>
      </c>
      <c r="BI122" s="136">
        <f>F122*AP122</f>
      </c>
      <c r="BJ122" s="136">
        <f>F122*G122</f>
      </c>
      <c r="BK122" s="136"/>
      <c r="BL122" s="136" t="n">
        <v>59</v>
      </c>
      <c r="BW122" s="136" t="n">
        <v>21</v>
      </c>
      <c r="BX122" s="14" t="s">
        <v>347</v>
      </c>
    </row>
    <row r="123">
      <c r="A123" s="9" t="s">
        <v>348</v>
      </c>
      <c r="B123" s="10" t="s">
        <v>349</v>
      </c>
      <c r="C123" s="14" t="s">
        <v>350</v>
      </c>
      <c r="D123" s="10"/>
      <c r="E123" s="10" t="s">
        <v>135</v>
      </c>
      <c r="F123" s="136" t="n">
        <v>343</v>
      </c>
      <c r="G123" s="137" t="n">
        <v>0</v>
      </c>
      <c r="H123" s="136">
        <f>F123*AO123</f>
      </c>
      <c r="I123" s="136">
        <f>F123*AP123</f>
      </c>
      <c r="J123" s="136">
        <f>F123*G123</f>
      </c>
      <c r="K123" s="138" t="s">
        <v>116</v>
      </c>
      <c r="Z123" s="136">
        <f>IF(AQ123="5",BJ123,0)</f>
      </c>
      <c r="AB123" s="136">
        <f>IF(AQ123="1",BH123,0)</f>
      </c>
      <c r="AC123" s="136">
        <f>IF(AQ123="1",BI123,0)</f>
      </c>
      <c r="AD123" s="136">
        <f>IF(AQ123="7",BH123,0)</f>
      </c>
      <c r="AE123" s="136">
        <f>IF(AQ123="7",BI123,0)</f>
      </c>
      <c r="AF123" s="136">
        <f>IF(AQ123="2",BH123,0)</f>
      </c>
      <c r="AG123" s="136">
        <f>IF(AQ123="2",BI123,0)</f>
      </c>
      <c r="AH123" s="136">
        <f>IF(AQ123="0",BJ123,0)</f>
      </c>
      <c r="AI123" s="112" t="s">
        <v>10</v>
      </c>
      <c r="AJ123" s="136">
        <f>IF(AN123=0,J123,0)</f>
      </c>
      <c r="AK123" s="136">
        <f>IF(AN123=12,J123,0)</f>
      </c>
      <c r="AL123" s="136">
        <f>IF(AN123=21,J123,0)</f>
      </c>
      <c r="AN123" s="136" t="n">
        <v>21</v>
      </c>
      <c r="AO123" s="136">
        <f>G123*0.154257975</f>
      </c>
      <c r="AP123" s="136">
        <f>G123*(1-0.154257975)</f>
      </c>
      <c r="AQ123" s="139" t="s">
        <v>112</v>
      </c>
      <c r="AV123" s="136">
        <f>AW123+AX123</f>
      </c>
      <c r="AW123" s="136">
        <f>F123*AO123</f>
      </c>
      <c r="AX123" s="136">
        <f>F123*AP123</f>
      </c>
      <c r="AY123" s="139" t="s">
        <v>336</v>
      </c>
      <c r="AZ123" s="139" t="s">
        <v>290</v>
      </c>
      <c r="BA123" s="112" t="s">
        <v>119</v>
      </c>
      <c r="BC123" s="136">
        <f>AW123+AX123</f>
      </c>
      <c r="BD123" s="136">
        <f>G123/(100-BE123)*100</f>
      </c>
      <c r="BE123" s="136" t="n">
        <v>0</v>
      </c>
      <c r="BF123" s="136">
        <f>123</f>
      </c>
      <c r="BH123" s="136">
        <f>F123*AO123</f>
      </c>
      <c r="BI123" s="136">
        <f>F123*AP123</f>
      </c>
      <c r="BJ123" s="136">
        <f>F123*G123</f>
      </c>
      <c r="BK123" s="136"/>
      <c r="BL123" s="136" t="n">
        <v>59</v>
      </c>
      <c r="BW123" s="136" t="n">
        <v>21</v>
      </c>
      <c r="BX123" s="14" t="s">
        <v>350</v>
      </c>
    </row>
    <row r="124" ht="24.75">
      <c r="A124" s="140"/>
      <c r="B124" s="141" t="s">
        <v>131</v>
      </c>
      <c r="C124" s="142" t="s">
        <v>351</v>
      </c>
      <c r="D124" s="143"/>
      <c r="E124" s="143"/>
      <c r="F124" s="143"/>
      <c r="G124" s="144"/>
      <c r="H124" s="143"/>
      <c r="I124" s="143"/>
      <c r="J124" s="143"/>
      <c r="K124" s="145"/>
      <c r="BX124" s="142" t="s">
        <v>351</v>
      </c>
    </row>
    <row r="125">
      <c r="A125" s="9" t="s">
        <v>352</v>
      </c>
      <c r="B125" s="10" t="s">
        <v>353</v>
      </c>
      <c r="C125" s="14" t="s">
        <v>354</v>
      </c>
      <c r="D125" s="10"/>
      <c r="E125" s="10" t="s">
        <v>135</v>
      </c>
      <c r="F125" s="136" t="n">
        <v>75.48</v>
      </c>
      <c r="G125" s="137" t="n">
        <v>0</v>
      </c>
      <c r="H125" s="136">
        <f>F125*AO125</f>
      </c>
      <c r="I125" s="136">
        <f>F125*AP125</f>
      </c>
      <c r="J125" s="136">
        <f>F125*G125</f>
      </c>
      <c r="K125" s="138" t="s">
        <v>116</v>
      </c>
      <c r="Z125" s="136">
        <f>IF(AQ125="5",BJ125,0)</f>
      </c>
      <c r="AB125" s="136">
        <f>IF(AQ125="1",BH125,0)</f>
      </c>
      <c r="AC125" s="136">
        <f>IF(AQ125="1",BI125,0)</f>
      </c>
      <c r="AD125" s="136">
        <f>IF(AQ125="7",BH125,0)</f>
      </c>
      <c r="AE125" s="136">
        <f>IF(AQ125="7",BI125,0)</f>
      </c>
      <c r="AF125" s="136">
        <f>IF(AQ125="2",BH125,0)</f>
      </c>
      <c r="AG125" s="136">
        <f>IF(AQ125="2",BI125,0)</f>
      </c>
      <c r="AH125" s="136">
        <f>IF(AQ125="0",BJ125,0)</f>
      </c>
      <c r="AI125" s="112" t="s">
        <v>10</v>
      </c>
      <c r="AJ125" s="136">
        <f>IF(AN125=0,J125,0)</f>
      </c>
      <c r="AK125" s="136">
        <f>IF(AN125=12,J125,0)</f>
      </c>
      <c r="AL125" s="136">
        <f>IF(AN125=21,J125,0)</f>
      </c>
      <c r="AN125" s="136" t="n">
        <v>21</v>
      </c>
      <c r="AO125" s="136">
        <f>G125*1</f>
      </c>
      <c r="AP125" s="136">
        <f>G125*(1-1)</f>
      </c>
      <c r="AQ125" s="139" t="s">
        <v>112</v>
      </c>
      <c r="AV125" s="136">
        <f>AW125+AX125</f>
      </c>
      <c r="AW125" s="136">
        <f>F125*AO125</f>
      </c>
      <c r="AX125" s="136">
        <f>F125*AP125</f>
      </c>
      <c r="AY125" s="139" t="s">
        <v>336</v>
      </c>
      <c r="AZ125" s="139" t="s">
        <v>290</v>
      </c>
      <c r="BA125" s="112" t="s">
        <v>119</v>
      </c>
      <c r="BC125" s="136">
        <f>AW125+AX125</f>
      </c>
      <c r="BD125" s="136">
        <f>G125/(100-BE125)*100</f>
      </c>
      <c r="BE125" s="136" t="n">
        <v>0</v>
      </c>
      <c r="BF125" s="136">
        <f>125</f>
      </c>
      <c r="BH125" s="136">
        <f>F125*AO125</f>
      </c>
      <c r="BI125" s="136">
        <f>F125*AP125</f>
      </c>
      <c r="BJ125" s="136">
        <f>F125*G125</f>
      </c>
      <c r="BK125" s="136"/>
      <c r="BL125" s="136" t="n">
        <v>59</v>
      </c>
      <c r="BW125" s="136" t="n">
        <v>21</v>
      </c>
      <c r="BX125" s="14" t="s">
        <v>354</v>
      </c>
    </row>
    <row r="126" ht="36.75">
      <c r="A126" s="140"/>
      <c r="B126" s="141" t="s">
        <v>131</v>
      </c>
      <c r="C126" s="142" t="s">
        <v>355</v>
      </c>
      <c r="D126" s="143"/>
      <c r="E126" s="143"/>
      <c r="F126" s="143"/>
      <c r="G126" s="144"/>
      <c r="H126" s="143"/>
      <c r="I126" s="143"/>
      <c r="J126" s="143"/>
      <c r="K126" s="145"/>
      <c r="BX126" s="142" t="s">
        <v>355</v>
      </c>
    </row>
    <row r="127">
      <c r="A127" s="9" t="s">
        <v>356</v>
      </c>
      <c r="B127" s="10" t="s">
        <v>357</v>
      </c>
      <c r="C127" s="14" t="s">
        <v>358</v>
      </c>
      <c r="D127" s="10"/>
      <c r="E127" s="10" t="s">
        <v>135</v>
      </c>
      <c r="F127" s="136" t="n">
        <v>274.38</v>
      </c>
      <c r="G127" s="137" t="n">
        <v>0</v>
      </c>
      <c r="H127" s="136">
        <f>F127*AO127</f>
      </c>
      <c r="I127" s="136">
        <f>F127*AP127</f>
      </c>
      <c r="J127" s="136">
        <f>F127*G127</f>
      </c>
      <c r="K127" s="138" t="s">
        <v>116</v>
      </c>
      <c r="Z127" s="136">
        <f>IF(AQ127="5",BJ127,0)</f>
      </c>
      <c r="AB127" s="136">
        <f>IF(AQ127="1",BH127,0)</f>
      </c>
      <c r="AC127" s="136">
        <f>IF(AQ127="1",BI127,0)</f>
      </c>
      <c r="AD127" s="136">
        <f>IF(AQ127="7",BH127,0)</f>
      </c>
      <c r="AE127" s="136">
        <f>IF(AQ127="7",BI127,0)</f>
      </c>
      <c r="AF127" s="136">
        <f>IF(AQ127="2",BH127,0)</f>
      </c>
      <c r="AG127" s="136">
        <f>IF(AQ127="2",BI127,0)</f>
      </c>
      <c r="AH127" s="136">
        <f>IF(AQ127="0",BJ127,0)</f>
      </c>
      <c r="AI127" s="112" t="s">
        <v>10</v>
      </c>
      <c r="AJ127" s="136">
        <f>IF(AN127=0,J127,0)</f>
      </c>
      <c r="AK127" s="136">
        <f>IF(AN127=12,J127,0)</f>
      </c>
      <c r="AL127" s="136">
        <f>IF(AN127=21,J127,0)</f>
      </c>
      <c r="AN127" s="136" t="n">
        <v>21</v>
      </c>
      <c r="AO127" s="136">
        <f>G127*1</f>
      </c>
      <c r="AP127" s="136">
        <f>G127*(1-1)</f>
      </c>
      <c r="AQ127" s="139" t="s">
        <v>112</v>
      </c>
      <c r="AV127" s="136">
        <f>AW127+AX127</f>
      </c>
      <c r="AW127" s="136">
        <f>F127*AO127</f>
      </c>
      <c r="AX127" s="136">
        <f>F127*AP127</f>
      </c>
      <c r="AY127" s="139" t="s">
        <v>336</v>
      </c>
      <c r="AZ127" s="139" t="s">
        <v>290</v>
      </c>
      <c r="BA127" s="112" t="s">
        <v>119</v>
      </c>
      <c r="BC127" s="136">
        <f>AW127+AX127</f>
      </c>
      <c r="BD127" s="136">
        <f>G127/(100-BE127)*100</f>
      </c>
      <c r="BE127" s="136" t="n">
        <v>0</v>
      </c>
      <c r="BF127" s="136">
        <f>127</f>
      </c>
      <c r="BH127" s="136">
        <f>F127*AO127</f>
      </c>
      <c r="BI127" s="136">
        <f>F127*AP127</f>
      </c>
      <c r="BJ127" s="136">
        <f>F127*G127</f>
      </c>
      <c r="BK127" s="136"/>
      <c r="BL127" s="136" t="n">
        <v>59</v>
      </c>
      <c r="BW127" s="136" t="n">
        <v>21</v>
      </c>
      <c r="BX127" s="14" t="s">
        <v>358</v>
      </c>
    </row>
    <row r="128">
      <c r="A128" s="140"/>
      <c r="B128" s="141" t="s">
        <v>131</v>
      </c>
      <c r="C128" s="142" t="s">
        <v>359</v>
      </c>
      <c r="D128" s="143"/>
      <c r="E128" s="143"/>
      <c r="F128" s="143"/>
      <c r="G128" s="144"/>
      <c r="H128" s="143"/>
      <c r="I128" s="143"/>
      <c r="J128" s="143"/>
      <c r="K128" s="145"/>
      <c r="BX128" s="142" t="s">
        <v>359</v>
      </c>
    </row>
    <row r="129">
      <c r="A129" s="9" t="s">
        <v>360</v>
      </c>
      <c r="B129" s="10" t="s">
        <v>361</v>
      </c>
      <c r="C129" s="14" t="s">
        <v>362</v>
      </c>
      <c r="D129" s="10"/>
      <c r="E129" s="10" t="s">
        <v>115</v>
      </c>
      <c r="F129" s="136" t="n">
        <v>200</v>
      </c>
      <c r="G129" s="137" t="n">
        <v>0</v>
      </c>
      <c r="H129" s="136">
        <f>F129*AO129</f>
      </c>
      <c r="I129" s="136">
        <f>F129*AP129</f>
      </c>
      <c r="J129" s="136">
        <f>F129*G129</f>
      </c>
      <c r="K129" s="138" t="s">
        <v>116</v>
      </c>
      <c r="Z129" s="136">
        <f>IF(AQ129="5",BJ129,0)</f>
      </c>
      <c r="AB129" s="136">
        <f>IF(AQ129="1",BH129,0)</f>
      </c>
      <c r="AC129" s="136">
        <f>IF(AQ129="1",BI129,0)</f>
      </c>
      <c r="AD129" s="136">
        <f>IF(AQ129="7",BH129,0)</f>
      </c>
      <c r="AE129" s="136">
        <f>IF(AQ129="7",BI129,0)</f>
      </c>
      <c r="AF129" s="136">
        <f>IF(AQ129="2",BH129,0)</f>
      </c>
      <c r="AG129" s="136">
        <f>IF(AQ129="2",BI129,0)</f>
      </c>
      <c r="AH129" s="136">
        <f>IF(AQ129="0",BJ129,0)</f>
      </c>
      <c r="AI129" s="112" t="s">
        <v>10</v>
      </c>
      <c r="AJ129" s="136">
        <f>IF(AN129=0,J129,0)</f>
      </c>
      <c r="AK129" s="136">
        <f>IF(AN129=12,J129,0)</f>
      </c>
      <c r="AL129" s="136">
        <f>IF(AN129=21,J129,0)</f>
      </c>
      <c r="AN129" s="136" t="n">
        <v>21</v>
      </c>
      <c r="AO129" s="136">
        <f>G129*0.051456</f>
      </c>
      <c r="AP129" s="136">
        <f>G129*(1-0.051456)</f>
      </c>
      <c r="AQ129" s="139" t="s">
        <v>112</v>
      </c>
      <c r="AV129" s="136">
        <f>AW129+AX129</f>
      </c>
      <c r="AW129" s="136">
        <f>F129*AO129</f>
      </c>
      <c r="AX129" s="136">
        <f>F129*AP129</f>
      </c>
      <c r="AY129" s="139" t="s">
        <v>336</v>
      </c>
      <c r="AZ129" s="139" t="s">
        <v>290</v>
      </c>
      <c r="BA129" s="112" t="s">
        <v>119</v>
      </c>
      <c r="BC129" s="136">
        <f>AW129+AX129</f>
      </c>
      <c r="BD129" s="136">
        <f>G129/(100-BE129)*100</f>
      </c>
      <c r="BE129" s="136" t="n">
        <v>0</v>
      </c>
      <c r="BF129" s="136">
        <f>129</f>
      </c>
      <c r="BH129" s="136">
        <f>F129*AO129</f>
      </c>
      <c r="BI129" s="136">
        <f>F129*AP129</f>
      </c>
      <c r="BJ129" s="136">
        <f>F129*G129</f>
      </c>
      <c r="BK129" s="136"/>
      <c r="BL129" s="136" t="n">
        <v>59</v>
      </c>
      <c r="BW129" s="136" t="n">
        <v>21</v>
      </c>
      <c r="BX129" s="14" t="s">
        <v>362</v>
      </c>
    </row>
    <row r="130">
      <c r="A130" s="130" t="s">
        <v>10</v>
      </c>
      <c r="B130" s="131" t="s">
        <v>363</v>
      </c>
      <c r="C130" s="132" t="s">
        <v>364</v>
      </c>
      <c r="D130" s="131"/>
      <c r="E130" s="133" t="s">
        <v>74</v>
      </c>
      <c r="F130" s="133" t="s">
        <v>74</v>
      </c>
      <c r="G130" s="134" t="s">
        <v>74</v>
      </c>
      <c r="H130" s="94">
        <f>SUM(H131:H132)</f>
      </c>
      <c r="I130" s="94">
        <f>SUM(I131:I132)</f>
      </c>
      <c r="J130" s="94">
        <f>SUM(J131:J132)</f>
      </c>
      <c r="K130" s="135" t="s">
        <v>10</v>
      </c>
      <c r="AI130" s="112" t="s">
        <v>10</v>
      </c>
      <c r="AS130" s="94">
        <f>SUM(AJ131:AJ132)</f>
      </c>
      <c r="AT130" s="94">
        <f>SUM(AK131:AK132)</f>
      </c>
      <c r="AU130" s="94">
        <f>SUM(AL131:AL132)</f>
      </c>
    </row>
    <row r="131">
      <c r="A131" s="9" t="s">
        <v>365</v>
      </c>
      <c r="B131" s="10" t="s">
        <v>366</v>
      </c>
      <c r="C131" s="14" t="s">
        <v>367</v>
      </c>
      <c r="D131" s="10"/>
      <c r="E131" s="10" t="s">
        <v>368</v>
      </c>
      <c r="F131" s="136" t="n">
        <v>350</v>
      </c>
      <c r="G131" s="137" t="n">
        <v>0</v>
      </c>
      <c r="H131" s="136">
        <f>F131*AO131</f>
      </c>
      <c r="I131" s="136">
        <f>F131*AP131</f>
      </c>
      <c r="J131" s="136">
        <f>F131*G131</f>
      </c>
      <c r="K131" s="138" t="s">
        <v>116</v>
      </c>
      <c r="Z131" s="136">
        <f>IF(AQ131="5",BJ131,0)</f>
      </c>
      <c r="AB131" s="136">
        <f>IF(AQ131="1",BH131,0)</f>
      </c>
      <c r="AC131" s="136">
        <f>IF(AQ131="1",BI131,0)</f>
      </c>
      <c r="AD131" s="136">
        <f>IF(AQ131="7",BH131,0)</f>
      </c>
      <c r="AE131" s="136">
        <f>IF(AQ131="7",BI131,0)</f>
      </c>
      <c r="AF131" s="136">
        <f>IF(AQ131="2",BH131,0)</f>
      </c>
      <c r="AG131" s="136">
        <f>IF(AQ131="2",BI131,0)</f>
      </c>
      <c r="AH131" s="136">
        <f>IF(AQ131="0",BJ131,0)</f>
      </c>
      <c r="AI131" s="112" t="s">
        <v>10</v>
      </c>
      <c r="AJ131" s="136">
        <f>IF(AN131=0,J131,0)</f>
      </c>
      <c r="AK131" s="136">
        <f>IF(AN131=12,J131,0)</f>
      </c>
      <c r="AL131" s="136">
        <f>IF(AN131=21,J131,0)</f>
      </c>
      <c r="AN131" s="136" t="n">
        <v>21</v>
      </c>
      <c r="AO131" s="136">
        <f>G131*0.15238806</f>
      </c>
      <c r="AP131" s="136">
        <f>G131*(1-0.15238806)</f>
      </c>
      <c r="AQ131" s="139" t="s">
        <v>141</v>
      </c>
      <c r="AV131" s="136">
        <f>AW131+AX131</f>
      </c>
      <c r="AW131" s="136">
        <f>F131*AO131</f>
      </c>
      <c r="AX131" s="136">
        <f>F131*AP131</f>
      </c>
      <c r="AY131" s="139" t="s">
        <v>369</v>
      </c>
      <c r="AZ131" s="139" t="s">
        <v>370</v>
      </c>
      <c r="BA131" s="112" t="s">
        <v>119</v>
      </c>
      <c r="BC131" s="136">
        <f>AW131+AX131</f>
      </c>
      <c r="BD131" s="136">
        <f>G131/(100-BE131)*100</f>
      </c>
      <c r="BE131" s="136" t="n">
        <v>0</v>
      </c>
      <c r="BF131" s="136">
        <f>131</f>
      </c>
      <c r="BH131" s="136">
        <f>F131*AO131</f>
      </c>
      <c r="BI131" s="136">
        <f>F131*AP131</f>
      </c>
      <c r="BJ131" s="136">
        <f>F131*G131</f>
      </c>
      <c r="BK131" s="136"/>
      <c r="BL131" s="136" t="n">
        <v>767</v>
      </c>
      <c r="BW131" s="136" t="n">
        <v>21</v>
      </c>
      <c r="BX131" s="14" t="s">
        <v>367</v>
      </c>
    </row>
    <row r="132">
      <c r="A132" s="9" t="s">
        <v>371</v>
      </c>
      <c r="B132" s="10" t="s">
        <v>168</v>
      </c>
      <c r="C132" s="14" t="s">
        <v>169</v>
      </c>
      <c r="D132" s="10"/>
      <c r="E132" s="10" t="s">
        <v>129</v>
      </c>
      <c r="F132" s="136" t="n">
        <v>0.3675</v>
      </c>
      <c r="G132" s="137" t="n">
        <v>0</v>
      </c>
      <c r="H132" s="136">
        <f>F132*AO132</f>
      </c>
      <c r="I132" s="136">
        <f>F132*AP132</f>
      </c>
      <c r="J132" s="136">
        <f>F132*G132</f>
      </c>
      <c r="K132" s="138" t="s">
        <v>116</v>
      </c>
      <c r="Z132" s="136">
        <f>IF(AQ132="5",BJ132,0)</f>
      </c>
      <c r="AB132" s="136">
        <f>IF(AQ132="1",BH132,0)</f>
      </c>
      <c r="AC132" s="136">
        <f>IF(AQ132="1",BI132,0)</f>
      </c>
      <c r="AD132" s="136">
        <f>IF(AQ132="7",BH132,0)</f>
      </c>
      <c r="AE132" s="136">
        <f>IF(AQ132="7",BI132,0)</f>
      </c>
      <c r="AF132" s="136">
        <f>IF(AQ132="2",BH132,0)</f>
      </c>
      <c r="AG132" s="136">
        <f>IF(AQ132="2",BI132,0)</f>
      </c>
      <c r="AH132" s="136">
        <f>IF(AQ132="0",BJ132,0)</f>
      </c>
      <c r="AI132" s="112" t="s">
        <v>10</v>
      </c>
      <c r="AJ132" s="136">
        <f>IF(AN132=0,J132,0)</f>
      </c>
      <c r="AK132" s="136">
        <f>IF(AN132=12,J132,0)</f>
      </c>
      <c r="AL132" s="136">
        <f>IF(AN132=21,J132,0)</f>
      </c>
      <c r="AN132" s="136" t="n">
        <v>21</v>
      </c>
      <c r="AO132" s="136">
        <f>G132*0.01089616</f>
      </c>
      <c r="AP132" s="136">
        <f>G132*(1-0.01089616)</f>
      </c>
      <c r="AQ132" s="139" t="s">
        <v>130</v>
      </c>
      <c r="AV132" s="136">
        <f>AW132+AX132</f>
      </c>
      <c r="AW132" s="136">
        <f>F132*AO132</f>
      </c>
      <c r="AX132" s="136">
        <f>F132*AP132</f>
      </c>
      <c r="AY132" s="139" t="s">
        <v>369</v>
      </c>
      <c r="AZ132" s="139" t="s">
        <v>370</v>
      </c>
      <c r="BA132" s="112" t="s">
        <v>119</v>
      </c>
      <c r="BC132" s="136">
        <f>AW132+AX132</f>
      </c>
      <c r="BD132" s="136">
        <f>G132/(100-BE132)*100</f>
      </c>
      <c r="BE132" s="136" t="n">
        <v>0</v>
      </c>
      <c r="BF132" s="136">
        <f>132</f>
      </c>
      <c r="BH132" s="136">
        <f>F132*AO132</f>
      </c>
      <c r="BI132" s="136">
        <f>F132*AP132</f>
      </c>
      <c r="BJ132" s="136">
        <f>F132*G132</f>
      </c>
      <c r="BK132" s="136"/>
      <c r="BL132" s="136" t="n">
        <v>767</v>
      </c>
      <c r="BW132" s="136" t="n">
        <v>21</v>
      </c>
      <c r="BX132" s="14" t="s">
        <v>169</v>
      </c>
    </row>
    <row r="133">
      <c r="A133" s="140"/>
      <c r="B133" s="141" t="s">
        <v>131</v>
      </c>
      <c r="C133" s="142" t="s">
        <v>170</v>
      </c>
      <c r="D133" s="143"/>
      <c r="E133" s="143"/>
      <c r="F133" s="143"/>
      <c r="G133" s="144"/>
      <c r="H133" s="143"/>
      <c r="I133" s="143"/>
      <c r="J133" s="143"/>
      <c r="K133" s="145"/>
      <c r="BX133" s="142" t="s">
        <v>170</v>
      </c>
    </row>
    <row r="134">
      <c r="A134" s="130" t="s">
        <v>10</v>
      </c>
      <c r="B134" s="131" t="s">
        <v>372</v>
      </c>
      <c r="C134" s="132" t="s">
        <v>373</v>
      </c>
      <c r="D134" s="131"/>
      <c r="E134" s="133" t="s">
        <v>74</v>
      </c>
      <c r="F134" s="133" t="s">
        <v>74</v>
      </c>
      <c r="G134" s="134" t="s">
        <v>74</v>
      </c>
      <c r="H134" s="94">
        <f>SUM(H135:H135)</f>
      </c>
      <c r="I134" s="94">
        <f>SUM(I135:I135)</f>
      </c>
      <c r="J134" s="94">
        <f>SUM(J135:J135)</f>
      </c>
      <c r="K134" s="135" t="s">
        <v>10</v>
      </c>
      <c r="AI134" s="112" t="s">
        <v>10</v>
      </c>
      <c r="AS134" s="94">
        <f>SUM(AJ135:AJ135)</f>
      </c>
      <c r="AT134" s="94">
        <f>SUM(AK135:AK135)</f>
      </c>
      <c r="AU134" s="94">
        <f>SUM(AL135:AL135)</f>
      </c>
    </row>
    <row r="135">
      <c r="A135" s="9" t="s">
        <v>374</v>
      </c>
      <c r="B135" s="10" t="s">
        <v>375</v>
      </c>
      <c r="C135" s="14" t="s">
        <v>376</v>
      </c>
      <c r="D135" s="10"/>
      <c r="E135" s="10" t="s">
        <v>115</v>
      </c>
      <c r="F135" s="136" t="n">
        <v>52</v>
      </c>
      <c r="G135" s="137" t="n">
        <v>0</v>
      </c>
      <c r="H135" s="136">
        <f>F135*AO135</f>
      </c>
      <c r="I135" s="136">
        <f>F135*AP135</f>
      </c>
      <c r="J135" s="136">
        <f>F135*G135</f>
      </c>
      <c r="K135" s="138" t="s">
        <v>116</v>
      </c>
      <c r="Z135" s="136">
        <f>IF(AQ135="5",BJ135,0)</f>
      </c>
      <c r="AB135" s="136">
        <f>IF(AQ135="1",BH135,0)</f>
      </c>
      <c r="AC135" s="136">
        <f>IF(AQ135="1",BI135,0)</f>
      </c>
      <c r="AD135" s="136">
        <f>IF(AQ135="7",BH135,0)</f>
      </c>
      <c r="AE135" s="136">
        <f>IF(AQ135="7",BI135,0)</f>
      </c>
      <c r="AF135" s="136">
        <f>IF(AQ135="2",BH135,0)</f>
      </c>
      <c r="AG135" s="136">
        <f>IF(AQ135="2",BI135,0)</f>
      </c>
      <c r="AH135" s="136">
        <f>IF(AQ135="0",BJ135,0)</f>
      </c>
      <c r="AI135" s="112" t="s">
        <v>10</v>
      </c>
      <c r="AJ135" s="136">
        <f>IF(AN135=0,J135,0)</f>
      </c>
      <c r="AK135" s="136">
        <f>IF(AN135=12,J135,0)</f>
      </c>
      <c r="AL135" s="136">
        <f>IF(AN135=21,J135,0)</f>
      </c>
      <c r="AN135" s="136" t="n">
        <v>21</v>
      </c>
      <c r="AO135" s="136">
        <f>G135*0.217766673</f>
      </c>
      <c r="AP135" s="136">
        <f>G135*(1-0.217766673)</f>
      </c>
      <c r="AQ135" s="139" t="s">
        <v>112</v>
      </c>
      <c r="AV135" s="136">
        <f>AW135+AX135</f>
      </c>
      <c r="AW135" s="136">
        <f>F135*AO135</f>
      </c>
      <c r="AX135" s="136">
        <f>F135*AP135</f>
      </c>
      <c r="AY135" s="139" t="s">
        <v>377</v>
      </c>
      <c r="AZ135" s="139" t="s">
        <v>378</v>
      </c>
      <c r="BA135" s="112" t="s">
        <v>119</v>
      </c>
      <c r="BC135" s="136">
        <f>AW135+AX135</f>
      </c>
      <c r="BD135" s="136">
        <f>G135/(100-BE135)*100</f>
      </c>
      <c r="BE135" s="136" t="n">
        <v>0</v>
      </c>
      <c r="BF135" s="136">
        <f>135</f>
      </c>
      <c r="BH135" s="136">
        <f>F135*AO135</f>
      </c>
      <c r="BI135" s="136">
        <f>F135*AP135</f>
      </c>
      <c r="BJ135" s="136">
        <f>F135*G135</f>
      </c>
      <c r="BK135" s="136"/>
      <c r="BL135" s="136" t="n">
        <v>83</v>
      </c>
      <c r="BW135" s="136" t="n">
        <v>21</v>
      </c>
      <c r="BX135" s="14" t="s">
        <v>376</v>
      </c>
    </row>
    <row r="136" customHeight="true" ht="13.5">
      <c r="A136" s="140"/>
      <c r="B136" s="141" t="s">
        <v>209</v>
      </c>
      <c r="C136" s="142" t="s">
        <v>379</v>
      </c>
      <c r="D136" s="143"/>
      <c r="E136" s="143"/>
      <c r="F136" s="143"/>
      <c r="G136" s="144"/>
      <c r="H136" s="143"/>
      <c r="I136" s="143"/>
      <c r="J136" s="143"/>
      <c r="K136" s="145"/>
    </row>
    <row r="137" ht="24.75">
      <c r="A137" s="140"/>
      <c r="B137" s="141" t="s">
        <v>131</v>
      </c>
      <c r="C137" s="142" t="s">
        <v>380</v>
      </c>
      <c r="D137" s="143"/>
      <c r="E137" s="143"/>
      <c r="F137" s="143"/>
      <c r="G137" s="144"/>
      <c r="H137" s="143"/>
      <c r="I137" s="143"/>
      <c r="J137" s="143"/>
      <c r="K137" s="145"/>
      <c r="BX137" s="142" t="s">
        <v>380</v>
      </c>
    </row>
    <row r="138">
      <c r="A138" s="130" t="s">
        <v>10</v>
      </c>
      <c r="B138" s="131" t="s">
        <v>381</v>
      </c>
      <c r="C138" s="132" t="s">
        <v>382</v>
      </c>
      <c r="D138" s="131"/>
      <c r="E138" s="133" t="s">
        <v>74</v>
      </c>
      <c r="F138" s="133" t="s">
        <v>74</v>
      </c>
      <c r="G138" s="134" t="s">
        <v>74</v>
      </c>
      <c r="H138" s="94">
        <f>SUM(H139:H139)</f>
      </c>
      <c r="I138" s="94">
        <f>SUM(I139:I139)</f>
      </c>
      <c r="J138" s="94">
        <f>SUM(J139:J139)</f>
      </c>
      <c r="K138" s="135" t="s">
        <v>10</v>
      </c>
      <c r="AI138" s="112" t="s">
        <v>10</v>
      </c>
      <c r="AS138" s="94">
        <f>SUM(AJ139:AJ139)</f>
      </c>
      <c r="AT138" s="94">
        <f>SUM(AK139:AK139)</f>
      </c>
      <c r="AU138" s="94">
        <f>SUM(AL139:AL139)</f>
      </c>
    </row>
    <row r="139">
      <c r="A139" s="9" t="s">
        <v>383</v>
      </c>
      <c r="B139" s="10" t="s">
        <v>384</v>
      </c>
      <c r="C139" s="14" t="s">
        <v>385</v>
      </c>
      <c r="D139" s="10"/>
      <c r="E139" s="10" t="s">
        <v>200</v>
      </c>
      <c r="F139" s="136" t="n">
        <v>16</v>
      </c>
      <c r="G139" s="137" t="n">
        <v>0</v>
      </c>
      <c r="H139" s="136">
        <f>F139*AO139</f>
      </c>
      <c r="I139" s="136">
        <f>F139*AP139</f>
      </c>
      <c r="J139" s="136">
        <f>F139*G139</f>
      </c>
      <c r="K139" s="138" t="s">
        <v>116</v>
      </c>
      <c r="Z139" s="136">
        <f>IF(AQ139="5",BJ139,0)</f>
      </c>
      <c r="AB139" s="136">
        <f>IF(AQ139="1",BH139,0)</f>
      </c>
      <c r="AC139" s="136">
        <f>IF(AQ139="1",BI139,0)</f>
      </c>
      <c r="AD139" s="136">
        <f>IF(AQ139="7",BH139,0)</f>
      </c>
      <c r="AE139" s="136">
        <f>IF(AQ139="7",BI139,0)</f>
      </c>
      <c r="AF139" s="136">
        <f>IF(AQ139="2",BH139,0)</f>
      </c>
      <c r="AG139" s="136">
        <f>IF(AQ139="2",BI139,0)</f>
      </c>
      <c r="AH139" s="136">
        <f>IF(AQ139="0",BJ139,0)</f>
      </c>
      <c r="AI139" s="112" t="s">
        <v>10</v>
      </c>
      <c r="AJ139" s="136">
        <f>IF(AN139=0,J139,0)</f>
      </c>
      <c r="AK139" s="136">
        <f>IF(AN139=12,J139,0)</f>
      </c>
      <c r="AL139" s="136">
        <f>IF(AN139=21,J139,0)</f>
      </c>
      <c r="AN139" s="136" t="n">
        <v>21</v>
      </c>
      <c r="AO139" s="136">
        <f>G139*0.656812671</f>
      </c>
      <c r="AP139" s="136">
        <f>G139*(1-0.656812671)</f>
      </c>
      <c r="AQ139" s="139" t="s">
        <v>112</v>
      </c>
      <c r="AV139" s="136">
        <f>AW139+AX139</f>
      </c>
      <c r="AW139" s="136">
        <f>F139*AO139</f>
      </c>
      <c r="AX139" s="136">
        <f>F139*AP139</f>
      </c>
      <c r="AY139" s="139" t="s">
        <v>386</v>
      </c>
      <c r="AZ139" s="139" t="s">
        <v>378</v>
      </c>
      <c r="BA139" s="112" t="s">
        <v>119</v>
      </c>
      <c r="BC139" s="136">
        <f>AW139+AX139</f>
      </c>
      <c r="BD139" s="136">
        <f>G139/(100-BE139)*100</f>
      </c>
      <c r="BE139" s="136" t="n">
        <v>0</v>
      </c>
      <c r="BF139" s="136">
        <f>139</f>
      </c>
      <c r="BH139" s="136">
        <f>F139*AO139</f>
      </c>
      <c r="BI139" s="136">
        <f>F139*AP139</f>
      </c>
      <c r="BJ139" s="136">
        <f>F139*G139</f>
      </c>
      <c r="BK139" s="136"/>
      <c r="BL139" s="136" t="n">
        <v>89</v>
      </c>
      <c r="BW139" s="136" t="n">
        <v>21</v>
      </c>
      <c r="BX139" s="14" t="s">
        <v>385</v>
      </c>
    </row>
    <row r="140" customHeight="true" ht="13.5">
      <c r="A140" s="140"/>
      <c r="B140" s="141" t="s">
        <v>209</v>
      </c>
      <c r="C140" s="142" t="s">
        <v>387</v>
      </c>
      <c r="D140" s="143"/>
      <c r="E140" s="143"/>
      <c r="F140" s="143"/>
      <c r="G140" s="144"/>
      <c r="H140" s="143"/>
      <c r="I140" s="143"/>
      <c r="J140" s="143"/>
      <c r="K140" s="145"/>
    </row>
    <row r="141" ht="24.75">
      <c r="A141" s="140"/>
      <c r="B141" s="141" t="s">
        <v>131</v>
      </c>
      <c r="C141" s="142" t="s">
        <v>388</v>
      </c>
      <c r="D141" s="143"/>
      <c r="E141" s="143"/>
      <c r="F141" s="143"/>
      <c r="G141" s="144"/>
      <c r="H141" s="143"/>
      <c r="I141" s="143"/>
      <c r="J141" s="143"/>
      <c r="K141" s="145"/>
      <c r="BX141" s="142" t="s">
        <v>388</v>
      </c>
    </row>
    <row r="142">
      <c r="A142" s="130" t="s">
        <v>10</v>
      </c>
      <c r="B142" s="131" t="s">
        <v>389</v>
      </c>
      <c r="C142" s="132" t="s">
        <v>390</v>
      </c>
      <c r="D142" s="131"/>
      <c r="E142" s="133" t="s">
        <v>74</v>
      </c>
      <c r="F142" s="133" t="s">
        <v>74</v>
      </c>
      <c r="G142" s="134" t="s">
        <v>74</v>
      </c>
      <c r="H142" s="94">
        <f>SUM(H143:H178)</f>
      </c>
      <c r="I142" s="94">
        <f>SUM(I143:I178)</f>
      </c>
      <c r="J142" s="94">
        <f>SUM(J143:J178)</f>
      </c>
      <c r="K142" s="135" t="s">
        <v>10</v>
      </c>
      <c r="AI142" s="112" t="s">
        <v>10</v>
      </c>
      <c r="AS142" s="94">
        <f>SUM(AJ143:AJ178)</f>
      </c>
      <c r="AT142" s="94">
        <f>SUM(AK143:AK178)</f>
      </c>
      <c r="AU142" s="94">
        <f>SUM(AL143:AL178)</f>
      </c>
    </row>
    <row r="143">
      <c r="A143" s="9" t="s">
        <v>391</v>
      </c>
      <c r="B143" s="10" t="s">
        <v>392</v>
      </c>
      <c r="C143" s="14" t="s">
        <v>393</v>
      </c>
      <c r="D143" s="10"/>
      <c r="E143" s="10" t="s">
        <v>135</v>
      </c>
      <c r="F143" s="136" t="n">
        <v>21</v>
      </c>
      <c r="G143" s="137" t="n">
        <v>0</v>
      </c>
      <c r="H143" s="136">
        <f>F143*AO143</f>
      </c>
      <c r="I143" s="136">
        <f>F143*AP143</f>
      </c>
      <c r="J143" s="136">
        <f>F143*G143</f>
      </c>
      <c r="K143" s="138" t="s">
        <v>116</v>
      </c>
      <c r="Z143" s="136">
        <f>IF(AQ143="5",BJ143,0)</f>
      </c>
      <c r="AB143" s="136">
        <f>IF(AQ143="1",BH143,0)</f>
      </c>
      <c r="AC143" s="136">
        <f>IF(AQ143="1",BI143,0)</f>
      </c>
      <c r="AD143" s="136">
        <f>IF(AQ143="7",BH143,0)</f>
      </c>
      <c r="AE143" s="136">
        <f>IF(AQ143="7",BI143,0)</f>
      </c>
      <c r="AF143" s="136">
        <f>IF(AQ143="2",BH143,0)</f>
      </c>
      <c r="AG143" s="136">
        <f>IF(AQ143="2",BI143,0)</f>
      </c>
      <c r="AH143" s="136">
        <f>IF(AQ143="0",BJ143,0)</f>
      </c>
      <c r="AI143" s="112" t="s">
        <v>10</v>
      </c>
      <c r="AJ143" s="136">
        <f>IF(AN143=0,J143,0)</f>
      </c>
      <c r="AK143" s="136">
        <f>IF(AN143=12,J143,0)</f>
      </c>
      <c r="AL143" s="136">
        <f>IF(AN143=21,J143,0)</f>
      </c>
      <c r="AN143" s="136" t="n">
        <v>21</v>
      </c>
      <c r="AO143" s="136">
        <f>G143*0.565076453</f>
      </c>
      <c r="AP143" s="136">
        <f>G143*(1-0.565076453)</f>
      </c>
      <c r="AQ143" s="139" t="s">
        <v>112</v>
      </c>
      <c r="AV143" s="136">
        <f>AW143+AX143</f>
      </c>
      <c r="AW143" s="136">
        <f>F143*AO143</f>
      </c>
      <c r="AX143" s="136">
        <f>F143*AP143</f>
      </c>
      <c r="AY143" s="139" t="s">
        <v>394</v>
      </c>
      <c r="AZ143" s="139" t="s">
        <v>395</v>
      </c>
      <c r="BA143" s="112" t="s">
        <v>119</v>
      </c>
      <c r="BC143" s="136">
        <f>AW143+AX143</f>
      </c>
      <c r="BD143" s="136">
        <f>G143/(100-BE143)*100</f>
      </c>
      <c r="BE143" s="136" t="n">
        <v>0</v>
      </c>
      <c r="BF143" s="136">
        <f>143</f>
      </c>
      <c r="BH143" s="136">
        <f>F143*AO143</f>
      </c>
      <c r="BI143" s="136">
        <f>F143*AP143</f>
      </c>
      <c r="BJ143" s="136">
        <f>F143*G143</f>
      </c>
      <c r="BK143" s="136"/>
      <c r="BL143" s="136" t="n">
        <v>91</v>
      </c>
      <c r="BW143" s="136" t="n">
        <v>21</v>
      </c>
      <c r="BX143" s="14" t="s">
        <v>393</v>
      </c>
    </row>
    <row r="144" customHeight="true" ht="13.5">
      <c r="A144" s="140"/>
      <c r="B144" s="141" t="s">
        <v>209</v>
      </c>
      <c r="C144" s="142" t="s">
        <v>396</v>
      </c>
      <c r="D144" s="143"/>
      <c r="E144" s="143"/>
      <c r="F144" s="143"/>
      <c r="G144" s="144"/>
      <c r="H144" s="143"/>
      <c r="I144" s="143"/>
      <c r="J144" s="143"/>
      <c r="K144" s="145"/>
    </row>
    <row r="145">
      <c r="A145" s="9" t="s">
        <v>397</v>
      </c>
      <c r="B145" s="10" t="s">
        <v>398</v>
      </c>
      <c r="C145" s="14" t="s">
        <v>399</v>
      </c>
      <c r="D145" s="10"/>
      <c r="E145" s="10" t="s">
        <v>115</v>
      </c>
      <c r="F145" s="136" t="n">
        <v>159</v>
      </c>
      <c r="G145" s="137" t="n">
        <v>0</v>
      </c>
      <c r="H145" s="136">
        <f>F145*AO145</f>
      </c>
      <c r="I145" s="136">
        <f>F145*AP145</f>
      </c>
      <c r="J145" s="136">
        <f>F145*G145</f>
      </c>
      <c r="K145" s="138" t="s">
        <v>116</v>
      </c>
      <c r="Z145" s="136">
        <f>IF(AQ145="5",BJ145,0)</f>
      </c>
      <c r="AB145" s="136">
        <f>IF(AQ145="1",BH145,0)</f>
      </c>
      <c r="AC145" s="136">
        <f>IF(AQ145="1",BI145,0)</f>
      </c>
      <c r="AD145" s="136">
        <f>IF(AQ145="7",BH145,0)</f>
      </c>
      <c r="AE145" s="136">
        <f>IF(AQ145="7",BI145,0)</f>
      </c>
      <c r="AF145" s="136">
        <f>IF(AQ145="2",BH145,0)</f>
      </c>
      <c r="AG145" s="136">
        <f>IF(AQ145="2",BI145,0)</f>
      </c>
      <c r="AH145" s="136">
        <f>IF(AQ145="0",BJ145,0)</f>
      </c>
      <c r="AI145" s="112" t="s">
        <v>10</v>
      </c>
      <c r="AJ145" s="136">
        <f>IF(AN145=0,J145,0)</f>
      </c>
      <c r="AK145" s="136">
        <f>IF(AN145=12,J145,0)</f>
      </c>
      <c r="AL145" s="136">
        <f>IF(AN145=21,J145,0)</f>
      </c>
      <c r="AN145" s="136" t="n">
        <v>21</v>
      </c>
      <c r="AO145" s="136">
        <f>G145*0.737694754</f>
      </c>
      <c r="AP145" s="136">
        <f>G145*(1-0.737694754)</f>
      </c>
      <c r="AQ145" s="139" t="s">
        <v>112</v>
      </c>
      <c r="AV145" s="136">
        <f>AW145+AX145</f>
      </c>
      <c r="AW145" s="136">
        <f>F145*AO145</f>
      </c>
      <c r="AX145" s="136">
        <f>F145*AP145</f>
      </c>
      <c r="AY145" s="139" t="s">
        <v>394</v>
      </c>
      <c r="AZ145" s="139" t="s">
        <v>395</v>
      </c>
      <c r="BA145" s="112" t="s">
        <v>119</v>
      </c>
      <c r="BC145" s="136">
        <f>AW145+AX145</f>
      </c>
      <c r="BD145" s="136">
        <f>G145/(100-BE145)*100</f>
      </c>
      <c r="BE145" s="136" t="n">
        <v>0</v>
      </c>
      <c r="BF145" s="136">
        <f>145</f>
      </c>
      <c r="BH145" s="136">
        <f>F145*AO145</f>
      </c>
      <c r="BI145" s="136">
        <f>F145*AP145</f>
      </c>
      <c r="BJ145" s="136">
        <f>F145*G145</f>
      </c>
      <c r="BK145" s="136"/>
      <c r="BL145" s="136" t="n">
        <v>91</v>
      </c>
      <c r="BW145" s="136" t="n">
        <v>21</v>
      </c>
      <c r="BX145" s="14" t="s">
        <v>399</v>
      </c>
    </row>
    <row r="146" customHeight="true" ht="13.5">
      <c r="A146" s="140"/>
      <c r="B146" s="141" t="s">
        <v>209</v>
      </c>
      <c r="C146" s="142" t="s">
        <v>400</v>
      </c>
      <c r="D146" s="143"/>
      <c r="E146" s="143"/>
      <c r="F146" s="143"/>
      <c r="G146" s="144"/>
      <c r="H146" s="143"/>
      <c r="I146" s="143"/>
      <c r="J146" s="143"/>
      <c r="K146" s="145"/>
    </row>
    <row r="147">
      <c r="A147" s="9" t="s">
        <v>401</v>
      </c>
      <c r="B147" s="10" t="s">
        <v>402</v>
      </c>
      <c r="C147" s="14" t="s">
        <v>403</v>
      </c>
      <c r="D147" s="10"/>
      <c r="E147" s="10" t="s">
        <v>115</v>
      </c>
      <c r="F147" s="136" t="n">
        <v>646</v>
      </c>
      <c r="G147" s="137" t="n">
        <v>0</v>
      </c>
      <c r="H147" s="136">
        <f>F147*AO147</f>
      </c>
      <c r="I147" s="136">
        <f>F147*AP147</f>
      </c>
      <c r="J147" s="136">
        <f>F147*G147</f>
      </c>
      <c r="K147" s="138" t="s">
        <v>116</v>
      </c>
      <c r="Z147" s="136">
        <f>IF(AQ147="5",BJ147,0)</f>
      </c>
      <c r="AB147" s="136">
        <f>IF(AQ147="1",BH147,0)</f>
      </c>
      <c r="AC147" s="136">
        <f>IF(AQ147="1",BI147,0)</f>
      </c>
      <c r="AD147" s="136">
        <f>IF(AQ147="7",BH147,0)</f>
      </c>
      <c r="AE147" s="136">
        <f>IF(AQ147="7",BI147,0)</f>
      </c>
      <c r="AF147" s="136">
        <f>IF(AQ147="2",BH147,0)</f>
      </c>
      <c r="AG147" s="136">
        <f>IF(AQ147="2",BI147,0)</f>
      </c>
      <c r="AH147" s="136">
        <f>IF(AQ147="0",BJ147,0)</f>
      </c>
      <c r="AI147" s="112" t="s">
        <v>10</v>
      </c>
      <c r="AJ147" s="136">
        <f>IF(AN147=0,J147,0)</f>
      </c>
      <c r="AK147" s="136">
        <f>IF(AN147=12,J147,0)</f>
      </c>
      <c r="AL147" s="136">
        <f>IF(AN147=21,J147,0)</f>
      </c>
      <c r="AN147" s="136" t="n">
        <v>21</v>
      </c>
      <c r="AO147" s="136">
        <f>G147*0.77438435</f>
      </c>
      <c r="AP147" s="136">
        <f>G147*(1-0.77438435)</f>
      </c>
      <c r="AQ147" s="139" t="s">
        <v>112</v>
      </c>
      <c r="AV147" s="136">
        <f>AW147+AX147</f>
      </c>
      <c r="AW147" s="136">
        <f>F147*AO147</f>
      </c>
      <c r="AX147" s="136">
        <f>F147*AP147</f>
      </c>
      <c r="AY147" s="139" t="s">
        <v>394</v>
      </c>
      <c r="AZ147" s="139" t="s">
        <v>395</v>
      </c>
      <c r="BA147" s="112" t="s">
        <v>119</v>
      </c>
      <c r="BC147" s="136">
        <f>AW147+AX147</f>
      </c>
      <c r="BD147" s="136">
        <f>G147/(100-BE147)*100</f>
      </c>
      <c r="BE147" s="136" t="n">
        <v>0</v>
      </c>
      <c r="BF147" s="136">
        <f>147</f>
      </c>
      <c r="BH147" s="136">
        <f>F147*AO147</f>
      </c>
      <c r="BI147" s="136">
        <f>F147*AP147</f>
      </c>
      <c r="BJ147" s="136">
        <f>F147*G147</f>
      </c>
      <c r="BK147" s="136"/>
      <c r="BL147" s="136" t="n">
        <v>91</v>
      </c>
      <c r="BW147" s="136" t="n">
        <v>21</v>
      </c>
      <c r="BX147" s="14" t="s">
        <v>403</v>
      </c>
    </row>
    <row r="148" customHeight="true" ht="13.5">
      <c r="A148" s="140"/>
      <c r="B148" s="141" t="s">
        <v>209</v>
      </c>
      <c r="C148" s="142" t="s">
        <v>404</v>
      </c>
      <c r="D148" s="143"/>
      <c r="E148" s="143"/>
      <c r="F148" s="143"/>
      <c r="G148" s="144"/>
      <c r="H148" s="143"/>
      <c r="I148" s="143"/>
      <c r="J148" s="143"/>
      <c r="K148" s="145"/>
    </row>
    <row r="149" ht="24.75">
      <c r="A149" s="140"/>
      <c r="B149" s="141" t="s">
        <v>131</v>
      </c>
      <c r="C149" s="142" t="s">
        <v>405</v>
      </c>
      <c r="D149" s="143"/>
      <c r="E149" s="143"/>
      <c r="F149" s="143"/>
      <c r="G149" s="144"/>
      <c r="H149" s="143"/>
      <c r="I149" s="143"/>
      <c r="J149" s="143"/>
      <c r="K149" s="145"/>
      <c r="BX149" s="142" t="s">
        <v>405</v>
      </c>
    </row>
    <row r="150">
      <c r="A150" s="9" t="s">
        <v>406</v>
      </c>
      <c r="B150" s="10" t="s">
        <v>407</v>
      </c>
      <c r="C150" s="14" t="s">
        <v>408</v>
      </c>
      <c r="D150" s="10"/>
      <c r="E150" s="10" t="s">
        <v>115</v>
      </c>
      <c r="F150" s="136" t="n">
        <v>399</v>
      </c>
      <c r="G150" s="137" t="n">
        <v>0</v>
      </c>
      <c r="H150" s="136">
        <f>F150*AO150</f>
      </c>
      <c r="I150" s="136">
        <f>F150*AP150</f>
      </c>
      <c r="J150" s="136">
        <f>F150*G150</f>
      </c>
      <c r="K150" s="138" t="s">
        <v>116</v>
      </c>
      <c r="Z150" s="136">
        <f>IF(AQ150="5",BJ150,0)</f>
      </c>
      <c r="AB150" s="136">
        <f>IF(AQ150="1",BH150,0)</f>
      </c>
      <c r="AC150" s="136">
        <f>IF(AQ150="1",BI150,0)</f>
      </c>
      <c r="AD150" s="136">
        <f>IF(AQ150="7",BH150,0)</f>
      </c>
      <c r="AE150" s="136">
        <f>IF(AQ150="7",BI150,0)</f>
      </c>
      <c r="AF150" s="136">
        <f>IF(AQ150="2",BH150,0)</f>
      </c>
      <c r="AG150" s="136">
        <f>IF(AQ150="2",BI150,0)</f>
      </c>
      <c r="AH150" s="136">
        <f>IF(AQ150="0",BJ150,0)</f>
      </c>
      <c r="AI150" s="112" t="s">
        <v>10</v>
      </c>
      <c r="AJ150" s="136">
        <f>IF(AN150=0,J150,0)</f>
      </c>
      <c r="AK150" s="136">
        <f>IF(AN150=12,J150,0)</f>
      </c>
      <c r="AL150" s="136">
        <f>IF(AN150=21,J150,0)</f>
      </c>
      <c r="AN150" s="136" t="n">
        <v>21</v>
      </c>
      <c r="AO150" s="136">
        <f>G150*0.883870968</f>
      </c>
      <c r="AP150" s="136">
        <f>G150*(1-0.883870968)</f>
      </c>
      <c r="AQ150" s="139" t="s">
        <v>112</v>
      </c>
      <c r="AV150" s="136">
        <f>AW150+AX150</f>
      </c>
      <c r="AW150" s="136">
        <f>F150*AO150</f>
      </c>
      <c r="AX150" s="136">
        <f>F150*AP150</f>
      </c>
      <c r="AY150" s="139" t="s">
        <v>394</v>
      </c>
      <c r="AZ150" s="139" t="s">
        <v>395</v>
      </c>
      <c r="BA150" s="112" t="s">
        <v>119</v>
      </c>
      <c r="BC150" s="136">
        <f>AW150+AX150</f>
      </c>
      <c r="BD150" s="136">
        <f>G150/(100-BE150)*100</f>
      </c>
      <c r="BE150" s="136" t="n">
        <v>0</v>
      </c>
      <c r="BF150" s="136">
        <f>150</f>
      </c>
      <c r="BH150" s="136">
        <f>F150*AO150</f>
      </c>
      <c r="BI150" s="136">
        <f>F150*AP150</f>
      </c>
      <c r="BJ150" s="136">
        <f>F150*G150</f>
      </c>
      <c r="BK150" s="136"/>
      <c r="BL150" s="136" t="n">
        <v>91</v>
      </c>
      <c r="BW150" s="136" t="n">
        <v>21</v>
      </c>
      <c r="BX150" s="14" t="s">
        <v>408</v>
      </c>
    </row>
    <row r="151" customHeight="true" ht="13.5">
      <c r="A151" s="140"/>
      <c r="B151" s="141" t="s">
        <v>209</v>
      </c>
      <c r="C151" s="142" t="s">
        <v>409</v>
      </c>
      <c r="D151" s="143"/>
      <c r="E151" s="143"/>
      <c r="F151" s="143"/>
      <c r="G151" s="144"/>
      <c r="H151" s="143"/>
      <c r="I151" s="143"/>
      <c r="J151" s="143"/>
      <c r="K151" s="145"/>
    </row>
    <row r="152">
      <c r="A152" s="140"/>
      <c r="B152" s="141" t="s">
        <v>131</v>
      </c>
      <c r="C152" s="142" t="s">
        <v>410</v>
      </c>
      <c r="D152" s="143"/>
      <c r="E152" s="143"/>
      <c r="F152" s="143"/>
      <c r="G152" s="144"/>
      <c r="H152" s="143"/>
      <c r="I152" s="143"/>
      <c r="J152" s="143"/>
      <c r="K152" s="145"/>
      <c r="BX152" s="142" t="s">
        <v>410</v>
      </c>
    </row>
    <row r="153">
      <c r="A153" s="9" t="s">
        <v>411</v>
      </c>
      <c r="B153" s="10" t="s">
        <v>412</v>
      </c>
      <c r="C153" s="14" t="s">
        <v>413</v>
      </c>
      <c r="D153" s="10"/>
      <c r="E153" s="10" t="s">
        <v>115</v>
      </c>
      <c r="F153" s="136" t="n">
        <v>460</v>
      </c>
      <c r="G153" s="137" t="n">
        <v>0</v>
      </c>
      <c r="H153" s="136">
        <f>F153*AO153</f>
      </c>
      <c r="I153" s="136">
        <f>F153*AP153</f>
      </c>
      <c r="J153" s="136">
        <f>F153*G153</f>
      </c>
      <c r="K153" s="138" t="s">
        <v>116</v>
      </c>
      <c r="Z153" s="136">
        <f>IF(AQ153="5",BJ153,0)</f>
      </c>
      <c r="AB153" s="136">
        <f>IF(AQ153="1",BH153,0)</f>
      </c>
      <c r="AC153" s="136">
        <f>IF(AQ153="1",BI153,0)</f>
      </c>
      <c r="AD153" s="136">
        <f>IF(AQ153="7",BH153,0)</f>
      </c>
      <c r="AE153" s="136">
        <f>IF(AQ153="7",BI153,0)</f>
      </c>
      <c r="AF153" s="136">
        <f>IF(AQ153="2",BH153,0)</f>
      </c>
      <c r="AG153" s="136">
        <f>IF(AQ153="2",BI153,0)</f>
      </c>
      <c r="AH153" s="136">
        <f>IF(AQ153="0",BJ153,0)</f>
      </c>
      <c r="AI153" s="112" t="s">
        <v>10</v>
      </c>
      <c r="AJ153" s="136">
        <f>IF(AN153=0,J153,0)</f>
      </c>
      <c r="AK153" s="136">
        <f>IF(AN153=12,J153,0)</f>
      </c>
      <c r="AL153" s="136">
        <f>IF(AN153=21,J153,0)</f>
      </c>
      <c r="AN153" s="136" t="n">
        <v>21</v>
      </c>
      <c r="AO153" s="136">
        <f>G153*0.335659574</f>
      </c>
      <c r="AP153" s="136">
        <f>G153*(1-0.335659574)</f>
      </c>
      <c r="AQ153" s="139" t="s">
        <v>112</v>
      </c>
      <c r="AV153" s="136">
        <f>AW153+AX153</f>
      </c>
      <c r="AW153" s="136">
        <f>F153*AO153</f>
      </c>
      <c r="AX153" s="136">
        <f>F153*AP153</f>
      </c>
      <c r="AY153" s="139" t="s">
        <v>394</v>
      </c>
      <c r="AZ153" s="139" t="s">
        <v>395</v>
      </c>
      <c r="BA153" s="112" t="s">
        <v>119</v>
      </c>
      <c r="BC153" s="136">
        <f>AW153+AX153</f>
      </c>
      <c r="BD153" s="136">
        <f>G153/(100-BE153)*100</f>
      </c>
      <c r="BE153" s="136" t="n">
        <v>0</v>
      </c>
      <c r="BF153" s="136">
        <f>153</f>
      </c>
      <c r="BH153" s="136">
        <f>F153*AO153</f>
      </c>
      <c r="BI153" s="136">
        <f>F153*AP153</f>
      </c>
      <c r="BJ153" s="136">
        <f>F153*G153</f>
      </c>
      <c r="BK153" s="136"/>
      <c r="BL153" s="136" t="n">
        <v>91</v>
      </c>
      <c r="BW153" s="136" t="n">
        <v>21</v>
      </c>
      <c r="BX153" s="14" t="s">
        <v>413</v>
      </c>
    </row>
    <row r="154">
      <c r="A154" s="140"/>
      <c r="B154" s="141" t="s">
        <v>131</v>
      </c>
      <c r="C154" s="142" t="s">
        <v>414</v>
      </c>
      <c r="D154" s="143"/>
      <c r="E154" s="143"/>
      <c r="F154" s="143"/>
      <c r="G154" s="144"/>
      <c r="H154" s="143"/>
      <c r="I154" s="143"/>
      <c r="J154" s="143"/>
      <c r="K154" s="145"/>
      <c r="BX154" s="142" t="s">
        <v>414</v>
      </c>
    </row>
    <row r="155">
      <c r="A155" s="9" t="s">
        <v>415</v>
      </c>
      <c r="B155" s="10" t="s">
        <v>416</v>
      </c>
      <c r="C155" s="14" t="s">
        <v>417</v>
      </c>
      <c r="D155" s="10"/>
      <c r="E155" s="10" t="s">
        <v>200</v>
      </c>
      <c r="F155" s="136" t="n">
        <v>1876.8</v>
      </c>
      <c r="G155" s="137" t="n">
        <v>0</v>
      </c>
      <c r="H155" s="136">
        <f>F155*AO155</f>
      </c>
      <c r="I155" s="136">
        <f>F155*AP155</f>
      </c>
      <c r="J155" s="136">
        <f>F155*G155</f>
      </c>
      <c r="K155" s="138" t="s">
        <v>116</v>
      </c>
      <c r="Z155" s="136">
        <f>IF(AQ155="5",BJ155,0)</f>
      </c>
      <c r="AB155" s="136">
        <f>IF(AQ155="1",BH155,0)</f>
      </c>
      <c r="AC155" s="136">
        <f>IF(AQ155="1",BI155,0)</f>
      </c>
      <c r="AD155" s="136">
        <f>IF(AQ155="7",BH155,0)</f>
      </c>
      <c r="AE155" s="136">
        <f>IF(AQ155="7",BI155,0)</f>
      </c>
      <c r="AF155" s="136">
        <f>IF(AQ155="2",BH155,0)</f>
      </c>
      <c r="AG155" s="136">
        <f>IF(AQ155="2",BI155,0)</f>
      </c>
      <c r="AH155" s="136">
        <f>IF(AQ155="0",BJ155,0)</f>
      </c>
      <c r="AI155" s="112" t="s">
        <v>10</v>
      </c>
      <c r="AJ155" s="136">
        <f>IF(AN155=0,J155,0)</f>
      </c>
      <c r="AK155" s="136">
        <f>IF(AN155=12,J155,0)</f>
      </c>
      <c r="AL155" s="136">
        <f>IF(AN155=21,J155,0)</f>
      </c>
      <c r="AN155" s="136" t="n">
        <v>21</v>
      </c>
      <c r="AO155" s="136">
        <f>G155*1</f>
      </c>
      <c r="AP155" s="136">
        <f>G155*(1-1)</f>
      </c>
      <c r="AQ155" s="139" t="s">
        <v>112</v>
      </c>
      <c r="AV155" s="136">
        <f>AW155+AX155</f>
      </c>
      <c r="AW155" s="136">
        <f>F155*AO155</f>
      </c>
      <c r="AX155" s="136">
        <f>F155*AP155</f>
      </c>
      <c r="AY155" s="139" t="s">
        <v>394</v>
      </c>
      <c r="AZ155" s="139" t="s">
        <v>395</v>
      </c>
      <c r="BA155" s="112" t="s">
        <v>119</v>
      </c>
      <c r="BC155" s="136">
        <f>AW155+AX155</f>
      </c>
      <c r="BD155" s="136">
        <f>G155/(100-BE155)*100</f>
      </c>
      <c r="BE155" s="136" t="n">
        <v>0</v>
      </c>
      <c r="BF155" s="136">
        <f>155</f>
      </c>
      <c r="BH155" s="136">
        <f>F155*AO155</f>
      </c>
      <c r="BI155" s="136">
        <f>F155*AP155</f>
      </c>
      <c r="BJ155" s="136">
        <f>F155*G155</f>
      </c>
      <c r="BK155" s="136"/>
      <c r="BL155" s="136" t="n">
        <v>91</v>
      </c>
      <c r="BW155" s="136" t="n">
        <v>21</v>
      </c>
      <c r="BX155" s="14" t="s">
        <v>417</v>
      </c>
    </row>
    <row r="156">
      <c r="A156" s="9" t="s">
        <v>418</v>
      </c>
      <c r="B156" s="10" t="s">
        <v>419</v>
      </c>
      <c r="C156" s="14" t="s">
        <v>420</v>
      </c>
      <c r="D156" s="10"/>
      <c r="E156" s="10" t="s">
        <v>200</v>
      </c>
      <c r="F156" s="136" t="n">
        <v>4</v>
      </c>
      <c r="G156" s="137" t="n">
        <v>0</v>
      </c>
      <c r="H156" s="136">
        <f>F156*AO156</f>
      </c>
      <c r="I156" s="136">
        <f>F156*AP156</f>
      </c>
      <c r="J156" s="136">
        <f>F156*G156</f>
      </c>
      <c r="K156" s="138" t="s">
        <v>116</v>
      </c>
      <c r="Z156" s="136">
        <f>IF(AQ156="5",BJ156,0)</f>
      </c>
      <c r="AB156" s="136">
        <f>IF(AQ156="1",BH156,0)</f>
      </c>
      <c r="AC156" s="136">
        <f>IF(AQ156="1",BI156,0)</f>
      </c>
      <c r="AD156" s="136">
        <f>IF(AQ156="7",BH156,0)</f>
      </c>
      <c r="AE156" s="136">
        <f>IF(AQ156="7",BI156,0)</f>
      </c>
      <c r="AF156" s="136">
        <f>IF(AQ156="2",BH156,0)</f>
      </c>
      <c r="AG156" s="136">
        <f>IF(AQ156="2",BI156,0)</f>
      </c>
      <c r="AH156" s="136">
        <f>IF(AQ156="0",BJ156,0)</f>
      </c>
      <c r="AI156" s="112" t="s">
        <v>10</v>
      </c>
      <c r="AJ156" s="136">
        <f>IF(AN156=0,J156,0)</f>
      </c>
      <c r="AK156" s="136">
        <f>IF(AN156=12,J156,0)</f>
      </c>
      <c r="AL156" s="136">
        <f>IF(AN156=21,J156,0)</f>
      </c>
      <c r="AN156" s="136" t="n">
        <v>21</v>
      </c>
      <c r="AO156" s="136">
        <f>G156*0.800921875</f>
      </c>
      <c r="AP156" s="136">
        <f>G156*(1-0.800921875)</f>
      </c>
      <c r="AQ156" s="139" t="s">
        <v>112</v>
      </c>
      <c r="AV156" s="136">
        <f>AW156+AX156</f>
      </c>
      <c r="AW156" s="136">
        <f>F156*AO156</f>
      </c>
      <c r="AX156" s="136">
        <f>F156*AP156</f>
      </c>
      <c r="AY156" s="139" t="s">
        <v>394</v>
      </c>
      <c r="AZ156" s="139" t="s">
        <v>395</v>
      </c>
      <c r="BA156" s="112" t="s">
        <v>119</v>
      </c>
      <c r="BC156" s="136">
        <f>AW156+AX156</f>
      </c>
      <c r="BD156" s="136">
        <f>G156/(100-BE156)*100</f>
      </c>
      <c r="BE156" s="136" t="n">
        <v>0</v>
      </c>
      <c r="BF156" s="136">
        <f>156</f>
      </c>
      <c r="BH156" s="136">
        <f>F156*AO156</f>
      </c>
      <c r="BI156" s="136">
        <f>F156*AP156</f>
      </c>
      <c r="BJ156" s="136">
        <f>F156*G156</f>
      </c>
      <c r="BK156" s="136"/>
      <c r="BL156" s="136" t="n">
        <v>91</v>
      </c>
      <c r="BW156" s="136" t="n">
        <v>21</v>
      </c>
      <c r="BX156" s="14" t="s">
        <v>420</v>
      </c>
    </row>
    <row r="157" customHeight="true" ht="13.5">
      <c r="A157" s="140"/>
      <c r="B157" s="141" t="s">
        <v>209</v>
      </c>
      <c r="C157" s="142" t="s">
        <v>421</v>
      </c>
      <c r="D157" s="143"/>
      <c r="E157" s="143"/>
      <c r="F157" s="143"/>
      <c r="G157" s="144"/>
      <c r="H157" s="143"/>
      <c r="I157" s="143"/>
      <c r="J157" s="143"/>
      <c r="K157" s="145"/>
    </row>
    <row r="158" ht="24.75">
      <c r="A158" s="140"/>
      <c r="B158" s="141" t="s">
        <v>131</v>
      </c>
      <c r="C158" s="142" t="s">
        <v>422</v>
      </c>
      <c r="D158" s="143"/>
      <c r="E158" s="143"/>
      <c r="F158" s="143"/>
      <c r="G158" s="144"/>
      <c r="H158" s="143"/>
      <c r="I158" s="143"/>
      <c r="J158" s="143"/>
      <c r="K158" s="145"/>
      <c r="BX158" s="142" t="s">
        <v>422</v>
      </c>
    </row>
    <row r="159">
      <c r="A159" s="9" t="s">
        <v>423</v>
      </c>
      <c r="B159" s="10" t="s">
        <v>424</v>
      </c>
      <c r="C159" s="14" t="s">
        <v>425</v>
      </c>
      <c r="D159" s="10"/>
      <c r="E159" s="10" t="s">
        <v>200</v>
      </c>
      <c r="F159" s="136" t="n">
        <v>6</v>
      </c>
      <c r="G159" s="137" t="n">
        <v>0</v>
      </c>
      <c r="H159" s="136">
        <f>F159*AO159</f>
      </c>
      <c r="I159" s="136">
        <f>F159*AP159</f>
      </c>
      <c r="J159" s="136">
        <f>F159*G159</f>
      </c>
      <c r="K159" s="138" t="s">
        <v>116</v>
      </c>
      <c r="Z159" s="136">
        <f>IF(AQ159="5",BJ159,0)</f>
      </c>
      <c r="AB159" s="136">
        <f>IF(AQ159="1",BH159,0)</f>
      </c>
      <c r="AC159" s="136">
        <f>IF(AQ159="1",BI159,0)</f>
      </c>
      <c r="AD159" s="136">
        <f>IF(AQ159="7",BH159,0)</f>
      </c>
      <c r="AE159" s="136">
        <f>IF(AQ159="7",BI159,0)</f>
      </c>
      <c r="AF159" s="136">
        <f>IF(AQ159="2",BH159,0)</f>
      </c>
      <c r="AG159" s="136">
        <f>IF(AQ159="2",BI159,0)</f>
      </c>
      <c r="AH159" s="136">
        <f>IF(AQ159="0",BJ159,0)</f>
      </c>
      <c r="AI159" s="112" t="s">
        <v>10</v>
      </c>
      <c r="AJ159" s="136">
        <f>IF(AN159=0,J159,0)</f>
      </c>
      <c r="AK159" s="136">
        <f>IF(AN159=12,J159,0)</f>
      </c>
      <c r="AL159" s="136">
        <f>IF(AN159=21,J159,0)</f>
      </c>
      <c r="AN159" s="136" t="n">
        <v>21</v>
      </c>
      <c r="AO159" s="136">
        <f>G159*0.6795671</f>
      </c>
      <c r="AP159" s="136">
        <f>G159*(1-0.6795671)</f>
      </c>
      <c r="AQ159" s="139" t="s">
        <v>112</v>
      </c>
      <c r="AV159" s="136">
        <f>AW159+AX159</f>
      </c>
      <c r="AW159" s="136">
        <f>F159*AO159</f>
      </c>
      <c r="AX159" s="136">
        <f>F159*AP159</f>
      </c>
      <c r="AY159" s="139" t="s">
        <v>394</v>
      </c>
      <c r="AZ159" s="139" t="s">
        <v>395</v>
      </c>
      <c r="BA159" s="112" t="s">
        <v>119</v>
      </c>
      <c r="BC159" s="136">
        <f>AW159+AX159</f>
      </c>
      <c r="BD159" s="136">
        <f>G159/(100-BE159)*100</f>
      </c>
      <c r="BE159" s="136" t="n">
        <v>0</v>
      </c>
      <c r="BF159" s="136">
        <f>159</f>
      </c>
      <c r="BH159" s="136">
        <f>F159*AO159</f>
      </c>
      <c r="BI159" s="136">
        <f>F159*AP159</f>
      </c>
      <c r="BJ159" s="136">
        <f>F159*G159</f>
      </c>
      <c r="BK159" s="136"/>
      <c r="BL159" s="136" t="n">
        <v>91</v>
      </c>
      <c r="BW159" s="136" t="n">
        <v>21</v>
      </c>
      <c r="BX159" s="14" t="s">
        <v>425</v>
      </c>
    </row>
    <row r="160">
      <c r="A160" s="140"/>
      <c r="B160" s="141" t="s">
        <v>131</v>
      </c>
      <c r="C160" s="142" t="s">
        <v>426</v>
      </c>
      <c r="D160" s="143"/>
      <c r="E160" s="143"/>
      <c r="F160" s="143"/>
      <c r="G160" s="144"/>
      <c r="H160" s="143"/>
      <c r="I160" s="143"/>
      <c r="J160" s="143"/>
      <c r="K160" s="145"/>
      <c r="BX160" s="142" t="s">
        <v>426</v>
      </c>
    </row>
    <row r="161">
      <c r="A161" s="9" t="s">
        <v>427</v>
      </c>
      <c r="B161" s="10" t="s">
        <v>428</v>
      </c>
      <c r="C161" s="14" t="s">
        <v>429</v>
      </c>
      <c r="D161" s="10"/>
      <c r="E161" s="10" t="s">
        <v>200</v>
      </c>
      <c r="F161" s="136" t="n">
        <v>2</v>
      </c>
      <c r="G161" s="137" t="n">
        <v>0</v>
      </c>
      <c r="H161" s="136">
        <f>F161*AO161</f>
      </c>
      <c r="I161" s="136">
        <f>F161*AP161</f>
      </c>
      <c r="J161" s="136">
        <f>F161*G161</f>
      </c>
      <c r="K161" s="138" t="s">
        <v>116</v>
      </c>
      <c r="Z161" s="136">
        <f>IF(AQ161="5",BJ161,0)</f>
      </c>
      <c r="AB161" s="136">
        <f>IF(AQ161="1",BH161,0)</f>
      </c>
      <c r="AC161" s="136">
        <f>IF(AQ161="1",BI161,0)</f>
      </c>
      <c r="AD161" s="136">
        <f>IF(AQ161="7",BH161,0)</f>
      </c>
      <c r="AE161" s="136">
        <f>IF(AQ161="7",BI161,0)</f>
      </c>
      <c r="AF161" s="136">
        <f>IF(AQ161="2",BH161,0)</f>
      </c>
      <c r="AG161" s="136">
        <f>IF(AQ161="2",BI161,0)</f>
      </c>
      <c r="AH161" s="136">
        <f>IF(AQ161="0",BJ161,0)</f>
      </c>
      <c r="AI161" s="112" t="s">
        <v>10</v>
      </c>
      <c r="AJ161" s="136">
        <f>IF(AN161=0,J161,0)</f>
      </c>
      <c r="AK161" s="136">
        <f>IF(AN161=12,J161,0)</f>
      </c>
      <c r="AL161" s="136">
        <f>IF(AN161=21,J161,0)</f>
      </c>
      <c r="AN161" s="136" t="n">
        <v>21</v>
      </c>
      <c r="AO161" s="136">
        <f>G161*1</f>
      </c>
      <c r="AP161" s="136">
        <f>G161*(1-1)</f>
      </c>
      <c r="AQ161" s="139" t="s">
        <v>112</v>
      </c>
      <c r="AV161" s="136">
        <f>AW161+AX161</f>
      </c>
      <c r="AW161" s="136">
        <f>F161*AO161</f>
      </c>
      <c r="AX161" s="136">
        <f>F161*AP161</f>
      </c>
      <c r="AY161" s="139" t="s">
        <v>394</v>
      </c>
      <c r="AZ161" s="139" t="s">
        <v>395</v>
      </c>
      <c r="BA161" s="112" t="s">
        <v>119</v>
      </c>
      <c r="BC161" s="136">
        <f>AW161+AX161</f>
      </c>
      <c r="BD161" s="136">
        <f>G161/(100-BE161)*100</f>
      </c>
      <c r="BE161" s="136" t="n">
        <v>0</v>
      </c>
      <c r="BF161" s="136">
        <f>161</f>
      </c>
      <c r="BH161" s="136">
        <f>F161*AO161</f>
      </c>
      <c r="BI161" s="136">
        <f>F161*AP161</f>
      </c>
      <c r="BJ161" s="136">
        <f>F161*G161</f>
      </c>
      <c r="BK161" s="136"/>
      <c r="BL161" s="136" t="n">
        <v>91</v>
      </c>
      <c r="BW161" s="136" t="n">
        <v>21</v>
      </c>
      <c r="BX161" s="14" t="s">
        <v>429</v>
      </c>
    </row>
    <row r="162" ht="24.75">
      <c r="A162" s="140"/>
      <c r="B162" s="141" t="s">
        <v>131</v>
      </c>
      <c r="C162" s="142" t="s">
        <v>430</v>
      </c>
      <c r="D162" s="143"/>
      <c r="E162" s="143"/>
      <c r="F162" s="143"/>
      <c r="G162" s="144"/>
      <c r="H162" s="143"/>
      <c r="I162" s="143"/>
      <c r="J162" s="143"/>
      <c r="K162" s="145"/>
      <c r="BX162" s="142" t="s">
        <v>430</v>
      </c>
    </row>
    <row r="163">
      <c r="A163" s="9" t="s">
        <v>431</v>
      </c>
      <c r="B163" s="10" t="s">
        <v>432</v>
      </c>
      <c r="C163" s="14" t="s">
        <v>433</v>
      </c>
      <c r="D163" s="10"/>
      <c r="E163" s="10" t="s">
        <v>200</v>
      </c>
      <c r="F163" s="136" t="n">
        <v>2</v>
      </c>
      <c r="G163" s="137" t="n">
        <v>0</v>
      </c>
      <c r="H163" s="136">
        <f>F163*AO163</f>
      </c>
      <c r="I163" s="136">
        <f>F163*AP163</f>
      </c>
      <c r="J163" s="136">
        <f>F163*G163</f>
      </c>
      <c r="K163" s="138" t="s">
        <v>116</v>
      </c>
      <c r="Z163" s="136">
        <f>IF(AQ163="5",BJ163,0)</f>
      </c>
      <c r="AB163" s="136">
        <f>IF(AQ163="1",BH163,0)</f>
      </c>
      <c r="AC163" s="136">
        <f>IF(AQ163="1",BI163,0)</f>
      </c>
      <c r="AD163" s="136">
        <f>IF(AQ163="7",BH163,0)</f>
      </c>
      <c r="AE163" s="136">
        <f>IF(AQ163="7",BI163,0)</f>
      </c>
      <c r="AF163" s="136">
        <f>IF(AQ163="2",BH163,0)</f>
      </c>
      <c r="AG163" s="136">
        <f>IF(AQ163="2",BI163,0)</f>
      </c>
      <c r="AH163" s="136">
        <f>IF(AQ163="0",BJ163,0)</f>
      </c>
      <c r="AI163" s="112" t="s">
        <v>10</v>
      </c>
      <c r="AJ163" s="136">
        <f>IF(AN163=0,J163,0)</f>
      </c>
      <c r="AK163" s="136">
        <f>IF(AN163=12,J163,0)</f>
      </c>
      <c r="AL163" s="136">
        <f>IF(AN163=21,J163,0)</f>
      </c>
      <c r="AN163" s="136" t="n">
        <v>21</v>
      </c>
      <c r="AO163" s="136">
        <f>G163*1</f>
      </c>
      <c r="AP163" s="136">
        <f>G163*(1-1)</f>
      </c>
      <c r="AQ163" s="139" t="s">
        <v>112</v>
      </c>
      <c r="AV163" s="136">
        <f>AW163+AX163</f>
      </c>
      <c r="AW163" s="136">
        <f>F163*AO163</f>
      </c>
      <c r="AX163" s="136">
        <f>F163*AP163</f>
      </c>
      <c r="AY163" s="139" t="s">
        <v>394</v>
      </c>
      <c r="AZ163" s="139" t="s">
        <v>395</v>
      </c>
      <c r="BA163" s="112" t="s">
        <v>119</v>
      </c>
      <c r="BC163" s="136">
        <f>AW163+AX163</f>
      </c>
      <c r="BD163" s="136">
        <f>G163/(100-BE163)*100</f>
      </c>
      <c r="BE163" s="136" t="n">
        <v>0</v>
      </c>
      <c r="BF163" s="136">
        <f>163</f>
      </c>
      <c r="BH163" s="136">
        <f>F163*AO163</f>
      </c>
      <c r="BI163" s="136">
        <f>F163*AP163</f>
      </c>
      <c r="BJ163" s="136">
        <f>F163*G163</f>
      </c>
      <c r="BK163" s="136"/>
      <c r="BL163" s="136" t="n">
        <v>91</v>
      </c>
      <c r="BW163" s="136" t="n">
        <v>21</v>
      </c>
      <c r="BX163" s="14" t="s">
        <v>433</v>
      </c>
    </row>
    <row r="164" ht="36.75">
      <c r="A164" s="140"/>
      <c r="B164" s="141" t="s">
        <v>131</v>
      </c>
      <c r="C164" s="142" t="s">
        <v>434</v>
      </c>
      <c r="D164" s="143"/>
      <c r="E164" s="143"/>
      <c r="F164" s="143"/>
      <c r="G164" s="144"/>
      <c r="H164" s="143"/>
      <c r="I164" s="143"/>
      <c r="J164" s="143"/>
      <c r="K164" s="145"/>
      <c r="BX164" s="142" t="s">
        <v>434</v>
      </c>
    </row>
    <row r="165">
      <c r="A165" s="9" t="s">
        <v>372</v>
      </c>
      <c r="B165" s="10" t="s">
        <v>435</v>
      </c>
      <c r="C165" s="14" t="s">
        <v>436</v>
      </c>
      <c r="D165" s="10"/>
      <c r="E165" s="10" t="s">
        <v>200</v>
      </c>
      <c r="F165" s="136" t="n">
        <v>2</v>
      </c>
      <c r="G165" s="137" t="n">
        <v>0</v>
      </c>
      <c r="H165" s="136">
        <f>F165*AO165</f>
      </c>
      <c r="I165" s="136">
        <f>F165*AP165</f>
      </c>
      <c r="J165" s="136">
        <f>F165*G165</f>
      </c>
      <c r="K165" s="138" t="s">
        <v>116</v>
      </c>
      <c r="Z165" s="136">
        <f>IF(AQ165="5",BJ165,0)</f>
      </c>
      <c r="AB165" s="136">
        <f>IF(AQ165="1",BH165,0)</f>
      </c>
      <c r="AC165" s="136">
        <f>IF(AQ165="1",BI165,0)</f>
      </c>
      <c r="AD165" s="136">
        <f>IF(AQ165="7",BH165,0)</f>
      </c>
      <c r="AE165" s="136">
        <f>IF(AQ165="7",BI165,0)</f>
      </c>
      <c r="AF165" s="136">
        <f>IF(AQ165="2",BH165,0)</f>
      </c>
      <c r="AG165" s="136">
        <f>IF(AQ165="2",BI165,0)</f>
      </c>
      <c r="AH165" s="136">
        <f>IF(AQ165="0",BJ165,0)</f>
      </c>
      <c r="AI165" s="112" t="s">
        <v>10</v>
      </c>
      <c r="AJ165" s="136">
        <f>IF(AN165=0,J165,0)</f>
      </c>
      <c r="AK165" s="136">
        <f>IF(AN165=12,J165,0)</f>
      </c>
      <c r="AL165" s="136">
        <f>IF(AN165=21,J165,0)</f>
      </c>
      <c r="AN165" s="136" t="n">
        <v>21</v>
      </c>
      <c r="AO165" s="136">
        <f>G165*1</f>
      </c>
      <c r="AP165" s="136">
        <f>G165*(1-1)</f>
      </c>
      <c r="AQ165" s="139" t="s">
        <v>112</v>
      </c>
      <c r="AV165" s="136">
        <f>AW165+AX165</f>
      </c>
      <c r="AW165" s="136">
        <f>F165*AO165</f>
      </c>
      <c r="AX165" s="136">
        <f>F165*AP165</f>
      </c>
      <c r="AY165" s="139" t="s">
        <v>394</v>
      </c>
      <c r="AZ165" s="139" t="s">
        <v>395</v>
      </c>
      <c r="BA165" s="112" t="s">
        <v>119</v>
      </c>
      <c r="BC165" s="136">
        <f>AW165+AX165</f>
      </c>
      <c r="BD165" s="136">
        <f>G165/(100-BE165)*100</f>
      </c>
      <c r="BE165" s="136" t="n">
        <v>0</v>
      </c>
      <c r="BF165" s="136">
        <f>165</f>
      </c>
      <c r="BH165" s="136">
        <f>F165*AO165</f>
      </c>
      <c r="BI165" s="136">
        <f>F165*AP165</f>
      </c>
      <c r="BJ165" s="136">
        <f>F165*G165</f>
      </c>
      <c r="BK165" s="136"/>
      <c r="BL165" s="136" t="n">
        <v>91</v>
      </c>
      <c r="BW165" s="136" t="n">
        <v>21</v>
      </c>
      <c r="BX165" s="14" t="s">
        <v>436</v>
      </c>
    </row>
    <row r="166" ht="36.75">
      <c r="A166" s="140"/>
      <c r="B166" s="141" t="s">
        <v>131</v>
      </c>
      <c r="C166" s="142" t="s">
        <v>437</v>
      </c>
      <c r="D166" s="143"/>
      <c r="E166" s="143"/>
      <c r="F166" s="143"/>
      <c r="G166" s="144"/>
      <c r="H166" s="143"/>
      <c r="I166" s="143"/>
      <c r="J166" s="143"/>
      <c r="K166" s="145"/>
      <c r="BX166" s="142" t="s">
        <v>437</v>
      </c>
    </row>
    <row r="167">
      <c r="A167" s="9" t="s">
        <v>438</v>
      </c>
      <c r="B167" s="10" t="s">
        <v>439</v>
      </c>
      <c r="C167" s="14" t="s">
        <v>440</v>
      </c>
      <c r="D167" s="10"/>
      <c r="E167" s="10" t="s">
        <v>115</v>
      </c>
      <c r="F167" s="136" t="n">
        <v>90</v>
      </c>
      <c r="G167" s="137" t="n">
        <v>0</v>
      </c>
      <c r="H167" s="136">
        <f>F167*AO167</f>
      </c>
      <c r="I167" s="136">
        <f>F167*AP167</f>
      </c>
      <c r="J167" s="136">
        <f>F167*G167</f>
      </c>
      <c r="K167" s="138" t="s">
        <v>116</v>
      </c>
      <c r="Z167" s="136">
        <f>IF(AQ167="5",BJ167,0)</f>
      </c>
      <c r="AB167" s="136">
        <f>IF(AQ167="1",BH167,0)</f>
      </c>
      <c r="AC167" s="136">
        <f>IF(AQ167="1",BI167,0)</f>
      </c>
      <c r="AD167" s="136">
        <f>IF(AQ167="7",BH167,0)</f>
      </c>
      <c r="AE167" s="136">
        <f>IF(AQ167="7",BI167,0)</f>
      </c>
      <c r="AF167" s="136">
        <f>IF(AQ167="2",BH167,0)</f>
      </c>
      <c r="AG167" s="136">
        <f>IF(AQ167="2",BI167,0)</f>
      </c>
      <c r="AH167" s="136">
        <f>IF(AQ167="0",BJ167,0)</f>
      </c>
      <c r="AI167" s="112" t="s">
        <v>10</v>
      </c>
      <c r="AJ167" s="136">
        <f>IF(AN167=0,J167,0)</f>
      </c>
      <c r="AK167" s="136">
        <f>IF(AN167=12,J167,0)</f>
      </c>
      <c r="AL167" s="136">
        <f>IF(AN167=21,J167,0)</f>
      </c>
      <c r="AN167" s="136" t="n">
        <v>21</v>
      </c>
      <c r="AO167" s="136">
        <f>G167*0.613690348</f>
      </c>
      <c r="AP167" s="136">
        <f>G167*(1-0.613690348)</f>
      </c>
      <c r="AQ167" s="139" t="s">
        <v>112</v>
      </c>
      <c r="AV167" s="136">
        <f>AW167+AX167</f>
      </c>
      <c r="AW167" s="136">
        <f>F167*AO167</f>
      </c>
      <c r="AX167" s="136">
        <f>F167*AP167</f>
      </c>
      <c r="AY167" s="139" t="s">
        <v>394</v>
      </c>
      <c r="AZ167" s="139" t="s">
        <v>395</v>
      </c>
      <c r="BA167" s="112" t="s">
        <v>119</v>
      </c>
      <c r="BC167" s="136">
        <f>AW167+AX167</f>
      </c>
      <c r="BD167" s="136">
        <f>G167/(100-BE167)*100</f>
      </c>
      <c r="BE167" s="136" t="n">
        <v>0</v>
      </c>
      <c r="BF167" s="136">
        <f>167</f>
      </c>
      <c r="BH167" s="136">
        <f>F167*AO167</f>
      </c>
      <c r="BI167" s="136">
        <f>F167*AP167</f>
      </c>
      <c r="BJ167" s="136">
        <f>F167*G167</f>
      </c>
      <c r="BK167" s="136"/>
      <c r="BL167" s="136" t="n">
        <v>91</v>
      </c>
      <c r="BW167" s="136" t="n">
        <v>21</v>
      </c>
      <c r="BX167" s="14" t="s">
        <v>440</v>
      </c>
    </row>
    <row r="168">
      <c r="A168" s="140"/>
      <c r="B168" s="141" t="s">
        <v>131</v>
      </c>
      <c r="C168" s="142" t="s">
        <v>441</v>
      </c>
      <c r="D168" s="143"/>
      <c r="E168" s="143"/>
      <c r="F168" s="143"/>
      <c r="G168" s="144"/>
      <c r="H168" s="143"/>
      <c r="I168" s="143"/>
      <c r="J168" s="143"/>
      <c r="K168" s="145"/>
      <c r="BX168" s="142" t="s">
        <v>441</v>
      </c>
    </row>
    <row r="169">
      <c r="A169" s="9" t="s">
        <v>442</v>
      </c>
      <c r="B169" s="10" t="s">
        <v>443</v>
      </c>
      <c r="C169" s="14" t="s">
        <v>444</v>
      </c>
      <c r="D169" s="10"/>
      <c r="E169" s="10" t="s">
        <v>115</v>
      </c>
      <c r="F169" s="136" t="n">
        <v>90</v>
      </c>
      <c r="G169" s="137" t="n">
        <v>0</v>
      </c>
      <c r="H169" s="136">
        <f>F169*AO169</f>
      </c>
      <c r="I169" s="136">
        <f>F169*AP169</f>
      </c>
      <c r="J169" s="136">
        <f>F169*G169</f>
      </c>
      <c r="K169" s="138" t="s">
        <v>116</v>
      </c>
      <c r="Z169" s="136">
        <f>IF(AQ169="5",BJ169,0)</f>
      </c>
      <c r="AB169" s="136">
        <f>IF(AQ169="1",BH169,0)</f>
      </c>
      <c r="AC169" s="136">
        <f>IF(AQ169="1",BI169,0)</f>
      </c>
      <c r="AD169" s="136">
        <f>IF(AQ169="7",BH169,0)</f>
      </c>
      <c r="AE169" s="136">
        <f>IF(AQ169="7",BI169,0)</f>
      </c>
      <c r="AF169" s="136">
        <f>IF(AQ169="2",BH169,0)</f>
      </c>
      <c r="AG169" s="136">
        <f>IF(AQ169="2",BI169,0)</f>
      </c>
      <c r="AH169" s="136">
        <f>IF(AQ169="0",BJ169,0)</f>
      </c>
      <c r="AI169" s="112" t="s">
        <v>10</v>
      </c>
      <c r="AJ169" s="136">
        <f>IF(AN169=0,J169,0)</f>
      </c>
      <c r="AK169" s="136">
        <f>IF(AN169=12,J169,0)</f>
      </c>
      <c r="AL169" s="136">
        <f>IF(AN169=21,J169,0)</f>
      </c>
      <c r="AN169" s="136" t="n">
        <v>21</v>
      </c>
      <c r="AO169" s="136">
        <f>G169*0.691792295</f>
      </c>
      <c r="AP169" s="136">
        <f>G169*(1-0.691792295)</f>
      </c>
      <c r="AQ169" s="139" t="s">
        <v>112</v>
      </c>
      <c r="AV169" s="136">
        <f>AW169+AX169</f>
      </c>
      <c r="AW169" s="136">
        <f>F169*AO169</f>
      </c>
      <c r="AX169" s="136">
        <f>F169*AP169</f>
      </c>
      <c r="AY169" s="139" t="s">
        <v>394</v>
      </c>
      <c r="AZ169" s="139" t="s">
        <v>395</v>
      </c>
      <c r="BA169" s="112" t="s">
        <v>119</v>
      </c>
      <c r="BC169" s="136">
        <f>AW169+AX169</f>
      </c>
      <c r="BD169" s="136">
        <f>G169/(100-BE169)*100</f>
      </c>
      <c r="BE169" s="136" t="n">
        <v>0</v>
      </c>
      <c r="BF169" s="136">
        <f>169</f>
      </c>
      <c r="BH169" s="136">
        <f>F169*AO169</f>
      </c>
      <c r="BI169" s="136">
        <f>F169*AP169</f>
      </c>
      <c r="BJ169" s="136">
        <f>F169*G169</f>
      </c>
      <c r="BK169" s="136"/>
      <c r="BL169" s="136" t="n">
        <v>91</v>
      </c>
      <c r="BW169" s="136" t="n">
        <v>21</v>
      </c>
      <c r="BX169" s="14" t="s">
        <v>444</v>
      </c>
    </row>
    <row r="170" customHeight="true" ht="13.5">
      <c r="A170" s="140"/>
      <c r="B170" s="141" t="s">
        <v>209</v>
      </c>
      <c r="C170" s="142" t="s">
        <v>445</v>
      </c>
      <c r="D170" s="143"/>
      <c r="E170" s="143"/>
      <c r="F170" s="143"/>
      <c r="G170" s="144"/>
      <c r="H170" s="143"/>
      <c r="I170" s="143"/>
      <c r="J170" s="143"/>
      <c r="K170" s="145"/>
    </row>
    <row r="171">
      <c r="A171" s="9" t="s">
        <v>446</v>
      </c>
      <c r="B171" s="10" t="s">
        <v>447</v>
      </c>
      <c r="C171" s="14" t="s">
        <v>393</v>
      </c>
      <c r="D171" s="10"/>
      <c r="E171" s="10" t="s">
        <v>135</v>
      </c>
      <c r="F171" s="136" t="n">
        <v>27</v>
      </c>
      <c r="G171" s="137" t="n">
        <v>0</v>
      </c>
      <c r="H171" s="136">
        <f>F171*AO171</f>
      </c>
      <c r="I171" s="136">
        <f>F171*AP171</f>
      </c>
      <c r="J171" s="136">
        <f>F171*G171</f>
      </c>
      <c r="K171" s="138" t="s">
        <v>116</v>
      </c>
      <c r="Z171" s="136">
        <f>IF(AQ171="5",BJ171,0)</f>
      </c>
      <c r="AB171" s="136">
        <f>IF(AQ171="1",BH171,0)</f>
      </c>
      <c r="AC171" s="136">
        <f>IF(AQ171="1",BI171,0)</f>
      </c>
      <c r="AD171" s="136">
        <f>IF(AQ171="7",BH171,0)</f>
      </c>
      <c r="AE171" s="136">
        <f>IF(AQ171="7",BI171,0)</f>
      </c>
      <c r="AF171" s="136">
        <f>IF(AQ171="2",BH171,0)</f>
      </c>
      <c r="AG171" s="136">
        <f>IF(AQ171="2",BI171,0)</f>
      </c>
      <c r="AH171" s="136">
        <f>IF(AQ171="0",BJ171,0)</f>
      </c>
      <c r="AI171" s="112" t="s">
        <v>10</v>
      </c>
      <c r="AJ171" s="136">
        <f>IF(AN171=0,J171,0)</f>
      </c>
      <c r="AK171" s="136">
        <f>IF(AN171=12,J171,0)</f>
      </c>
      <c r="AL171" s="136">
        <f>IF(AN171=21,J171,0)</f>
      </c>
      <c r="AN171" s="136" t="n">
        <v>21</v>
      </c>
      <c r="AO171" s="136">
        <f>G171*0.468336449</f>
      </c>
      <c r="AP171" s="136">
        <f>G171*(1-0.468336449)</f>
      </c>
      <c r="AQ171" s="139" t="s">
        <v>112</v>
      </c>
      <c r="AV171" s="136">
        <f>AW171+AX171</f>
      </c>
      <c r="AW171" s="136">
        <f>F171*AO171</f>
      </c>
      <c r="AX171" s="136">
        <f>F171*AP171</f>
      </c>
      <c r="AY171" s="139" t="s">
        <v>394</v>
      </c>
      <c r="AZ171" s="139" t="s">
        <v>395</v>
      </c>
      <c r="BA171" s="112" t="s">
        <v>119</v>
      </c>
      <c r="BC171" s="136">
        <f>AW171+AX171</f>
      </c>
      <c r="BD171" s="136">
        <f>G171/(100-BE171)*100</f>
      </c>
      <c r="BE171" s="136" t="n">
        <v>0</v>
      </c>
      <c r="BF171" s="136">
        <f>171</f>
      </c>
      <c r="BH171" s="136">
        <f>F171*AO171</f>
      </c>
      <c r="BI171" s="136">
        <f>F171*AP171</f>
      </c>
      <c r="BJ171" s="136">
        <f>F171*G171</f>
      </c>
      <c r="BK171" s="136"/>
      <c r="BL171" s="136" t="n">
        <v>91</v>
      </c>
      <c r="BW171" s="136" t="n">
        <v>21</v>
      </c>
      <c r="BX171" s="14" t="s">
        <v>393</v>
      </c>
    </row>
    <row r="172" customHeight="true" ht="13.5">
      <c r="A172" s="140"/>
      <c r="B172" s="141" t="s">
        <v>209</v>
      </c>
      <c r="C172" s="142" t="s">
        <v>445</v>
      </c>
      <c r="D172" s="143"/>
      <c r="E172" s="143"/>
      <c r="F172" s="143"/>
      <c r="G172" s="144"/>
      <c r="H172" s="143"/>
      <c r="I172" s="143"/>
      <c r="J172" s="143"/>
      <c r="K172" s="145"/>
    </row>
    <row r="173">
      <c r="A173" s="9" t="s">
        <v>448</v>
      </c>
      <c r="B173" s="10" t="s">
        <v>449</v>
      </c>
      <c r="C173" s="14" t="s">
        <v>450</v>
      </c>
      <c r="D173" s="10"/>
      <c r="E173" s="10" t="s">
        <v>135</v>
      </c>
      <c r="F173" s="136" t="n">
        <v>27</v>
      </c>
      <c r="G173" s="137" t="n">
        <v>0</v>
      </c>
      <c r="H173" s="136">
        <f>F173*AO173</f>
      </c>
      <c r="I173" s="136">
        <f>F173*AP173</f>
      </c>
      <c r="J173" s="136">
        <f>F173*G173</f>
      </c>
      <c r="K173" s="138" t="s">
        <v>116</v>
      </c>
      <c r="Z173" s="136">
        <f>IF(AQ173="5",BJ173,0)</f>
      </c>
      <c r="AB173" s="136">
        <f>IF(AQ173="1",BH173,0)</f>
      </c>
      <c r="AC173" s="136">
        <f>IF(AQ173="1",BI173,0)</f>
      </c>
      <c r="AD173" s="136">
        <f>IF(AQ173="7",BH173,0)</f>
      </c>
      <c r="AE173" s="136">
        <f>IF(AQ173="7",BI173,0)</f>
      </c>
      <c r="AF173" s="136">
        <f>IF(AQ173="2",BH173,0)</f>
      </c>
      <c r="AG173" s="136">
        <f>IF(AQ173="2",BI173,0)</f>
      </c>
      <c r="AH173" s="136">
        <f>IF(AQ173="0",BJ173,0)</f>
      </c>
      <c r="AI173" s="112" t="s">
        <v>10</v>
      </c>
      <c r="AJ173" s="136">
        <f>IF(AN173=0,J173,0)</f>
      </c>
      <c r="AK173" s="136">
        <f>IF(AN173=12,J173,0)</f>
      </c>
      <c r="AL173" s="136">
        <f>IF(AN173=21,J173,0)</f>
      </c>
      <c r="AN173" s="136" t="n">
        <v>21</v>
      </c>
      <c r="AO173" s="136">
        <f>G173*0.432363636</f>
      </c>
      <c r="AP173" s="136">
        <f>G173*(1-0.432363636)</f>
      </c>
      <c r="AQ173" s="139" t="s">
        <v>112</v>
      </c>
      <c r="AV173" s="136">
        <f>AW173+AX173</f>
      </c>
      <c r="AW173" s="136">
        <f>F173*AO173</f>
      </c>
      <c r="AX173" s="136">
        <f>F173*AP173</f>
      </c>
      <c r="AY173" s="139" t="s">
        <v>394</v>
      </c>
      <c r="AZ173" s="139" t="s">
        <v>395</v>
      </c>
      <c r="BA173" s="112" t="s">
        <v>119</v>
      </c>
      <c r="BC173" s="136">
        <f>AW173+AX173</f>
      </c>
      <c r="BD173" s="136">
        <f>G173/(100-BE173)*100</f>
      </c>
      <c r="BE173" s="136" t="n">
        <v>0</v>
      </c>
      <c r="BF173" s="136">
        <f>173</f>
      </c>
      <c r="BH173" s="136">
        <f>F173*AO173</f>
      </c>
      <c r="BI173" s="136">
        <f>F173*AP173</f>
      </c>
      <c r="BJ173" s="136">
        <f>F173*G173</f>
      </c>
      <c r="BK173" s="136"/>
      <c r="BL173" s="136" t="n">
        <v>91</v>
      </c>
      <c r="BW173" s="136" t="n">
        <v>21</v>
      </c>
      <c r="BX173" s="14" t="s">
        <v>450</v>
      </c>
    </row>
    <row r="174">
      <c r="A174" s="140"/>
      <c r="B174" s="141" t="s">
        <v>131</v>
      </c>
      <c r="C174" s="142" t="s">
        <v>441</v>
      </c>
      <c r="D174" s="143"/>
      <c r="E174" s="143"/>
      <c r="F174" s="143"/>
      <c r="G174" s="144"/>
      <c r="H174" s="143"/>
      <c r="I174" s="143"/>
      <c r="J174" s="143"/>
      <c r="K174" s="145"/>
      <c r="BX174" s="142" t="s">
        <v>441</v>
      </c>
    </row>
    <row r="175">
      <c r="A175" s="9" t="s">
        <v>451</v>
      </c>
      <c r="B175" s="10" t="s">
        <v>452</v>
      </c>
      <c r="C175" s="14" t="s">
        <v>453</v>
      </c>
      <c r="D175" s="10"/>
      <c r="E175" s="10" t="s">
        <v>200</v>
      </c>
      <c r="F175" s="136" t="n">
        <v>4</v>
      </c>
      <c r="G175" s="137" t="n">
        <v>0</v>
      </c>
      <c r="H175" s="136">
        <f>F175*AO175</f>
      </c>
      <c r="I175" s="136">
        <f>F175*AP175</f>
      </c>
      <c r="J175" s="136">
        <f>F175*G175</f>
      </c>
      <c r="K175" s="138" t="s">
        <v>116</v>
      </c>
      <c r="Z175" s="136">
        <f>IF(AQ175="5",BJ175,0)</f>
      </c>
      <c r="AB175" s="136">
        <f>IF(AQ175="1",BH175,0)</f>
      </c>
      <c r="AC175" s="136">
        <f>IF(AQ175="1",BI175,0)</f>
      </c>
      <c r="AD175" s="136">
        <f>IF(AQ175="7",BH175,0)</f>
      </c>
      <c r="AE175" s="136">
        <f>IF(AQ175="7",BI175,0)</f>
      </c>
      <c r="AF175" s="136">
        <f>IF(AQ175="2",BH175,0)</f>
      </c>
      <c r="AG175" s="136">
        <f>IF(AQ175="2",BI175,0)</f>
      </c>
      <c r="AH175" s="136">
        <f>IF(AQ175="0",BJ175,0)</f>
      </c>
      <c r="AI175" s="112" t="s">
        <v>10</v>
      </c>
      <c r="AJ175" s="136">
        <f>IF(AN175=0,J175,0)</f>
      </c>
      <c r="AK175" s="136">
        <f>IF(AN175=12,J175,0)</f>
      </c>
      <c r="AL175" s="136">
        <f>IF(AN175=21,J175,0)</f>
      </c>
      <c r="AN175" s="136" t="n">
        <v>21</v>
      </c>
      <c r="AO175" s="136">
        <f>G175*0</f>
      </c>
      <c r="AP175" s="136">
        <f>G175*(1-0)</f>
      </c>
      <c r="AQ175" s="139" t="s">
        <v>112</v>
      </c>
      <c r="AV175" s="136">
        <f>AW175+AX175</f>
      </c>
      <c r="AW175" s="136">
        <f>F175*AO175</f>
      </c>
      <c r="AX175" s="136">
        <f>F175*AP175</f>
      </c>
      <c r="AY175" s="139" t="s">
        <v>394</v>
      </c>
      <c r="AZ175" s="139" t="s">
        <v>395</v>
      </c>
      <c r="BA175" s="112" t="s">
        <v>119</v>
      </c>
      <c r="BC175" s="136">
        <f>AW175+AX175</f>
      </c>
      <c r="BD175" s="136">
        <f>G175/(100-BE175)*100</f>
      </c>
      <c r="BE175" s="136" t="n">
        <v>0</v>
      </c>
      <c r="BF175" s="136">
        <f>175</f>
      </c>
      <c r="BH175" s="136">
        <f>F175*AO175</f>
      </c>
      <c r="BI175" s="136">
        <f>F175*AP175</f>
      </c>
      <c r="BJ175" s="136">
        <f>F175*G175</f>
      </c>
      <c r="BK175" s="136"/>
      <c r="BL175" s="136" t="n">
        <v>91</v>
      </c>
      <c r="BW175" s="136" t="n">
        <v>21</v>
      </c>
      <c r="BX175" s="14" t="s">
        <v>453</v>
      </c>
    </row>
    <row r="176">
      <c r="A176" s="9" t="s">
        <v>381</v>
      </c>
      <c r="B176" s="10" t="s">
        <v>127</v>
      </c>
      <c r="C176" s="14" t="s">
        <v>128</v>
      </c>
      <c r="D176" s="10"/>
      <c r="E176" s="10" t="s">
        <v>129</v>
      </c>
      <c r="F176" s="136" t="n">
        <v>0.528</v>
      </c>
      <c r="G176" s="137" t="n">
        <v>0</v>
      </c>
      <c r="H176" s="136">
        <f>F176*AO176</f>
      </c>
      <c r="I176" s="136">
        <f>F176*AP176</f>
      </c>
      <c r="J176" s="136">
        <f>F176*G176</f>
      </c>
      <c r="K176" s="138" t="s">
        <v>116</v>
      </c>
      <c r="Z176" s="136">
        <f>IF(AQ176="5",BJ176,0)</f>
      </c>
      <c r="AB176" s="136">
        <f>IF(AQ176="1",BH176,0)</f>
      </c>
      <c r="AC176" s="136">
        <f>IF(AQ176="1",BI176,0)</f>
      </c>
      <c r="AD176" s="136">
        <f>IF(AQ176="7",BH176,0)</f>
      </c>
      <c r="AE176" s="136">
        <f>IF(AQ176="7",BI176,0)</f>
      </c>
      <c r="AF176" s="136">
        <f>IF(AQ176="2",BH176,0)</f>
      </c>
      <c r="AG176" s="136">
        <f>IF(AQ176="2",BI176,0)</f>
      </c>
      <c r="AH176" s="136">
        <f>IF(AQ176="0",BJ176,0)</f>
      </c>
      <c r="AI176" s="112" t="s">
        <v>10</v>
      </c>
      <c r="AJ176" s="136">
        <f>IF(AN176=0,J176,0)</f>
      </c>
      <c r="AK176" s="136">
        <f>IF(AN176=12,J176,0)</f>
      </c>
      <c r="AL176" s="136">
        <f>IF(AN176=21,J176,0)</f>
      </c>
      <c r="AN176" s="136" t="n">
        <v>21</v>
      </c>
      <c r="AO176" s="136">
        <f>G176*0</f>
      </c>
      <c r="AP176" s="136">
        <f>G176*(1-0)</f>
      </c>
      <c r="AQ176" s="139" t="s">
        <v>130</v>
      </c>
      <c r="AV176" s="136">
        <f>AW176+AX176</f>
      </c>
      <c r="AW176" s="136">
        <f>F176*AO176</f>
      </c>
      <c r="AX176" s="136">
        <f>F176*AP176</f>
      </c>
      <c r="AY176" s="139" t="s">
        <v>394</v>
      </c>
      <c r="AZ176" s="139" t="s">
        <v>395</v>
      </c>
      <c r="BA176" s="112" t="s">
        <v>119</v>
      </c>
      <c r="BC176" s="136">
        <f>AW176+AX176</f>
      </c>
      <c r="BD176" s="136">
        <f>G176/(100-BE176)*100</f>
      </c>
      <c r="BE176" s="136" t="n">
        <v>0</v>
      </c>
      <c r="BF176" s="136">
        <f>176</f>
      </c>
      <c r="BH176" s="136">
        <f>F176*AO176</f>
      </c>
      <c r="BI176" s="136">
        <f>F176*AP176</f>
      </c>
      <c r="BJ176" s="136">
        <f>F176*G176</f>
      </c>
      <c r="BK176" s="136"/>
      <c r="BL176" s="136" t="n">
        <v>91</v>
      </c>
      <c r="BW176" s="136" t="n">
        <v>21</v>
      </c>
      <c r="BX176" s="14" t="s">
        <v>128</v>
      </c>
    </row>
    <row r="177">
      <c r="A177" s="140"/>
      <c r="B177" s="141" t="s">
        <v>131</v>
      </c>
      <c r="C177" s="142" t="s">
        <v>132</v>
      </c>
      <c r="D177" s="143"/>
      <c r="E177" s="143"/>
      <c r="F177" s="143"/>
      <c r="G177" s="144"/>
      <c r="H177" s="143"/>
      <c r="I177" s="143"/>
      <c r="J177" s="143"/>
      <c r="K177" s="145"/>
      <c r="BX177" s="142" t="s">
        <v>132</v>
      </c>
    </row>
    <row r="178">
      <c r="A178" s="9" t="s">
        <v>454</v>
      </c>
      <c r="B178" s="10" t="s">
        <v>168</v>
      </c>
      <c r="C178" s="14" t="s">
        <v>169</v>
      </c>
      <c r="D178" s="10"/>
      <c r="E178" s="10" t="s">
        <v>129</v>
      </c>
      <c r="F178" s="136" t="n">
        <v>0.528</v>
      </c>
      <c r="G178" s="137" t="n">
        <v>0</v>
      </c>
      <c r="H178" s="136">
        <f>F178*AO178</f>
      </c>
      <c r="I178" s="136">
        <f>F178*AP178</f>
      </c>
      <c r="J178" s="136">
        <f>F178*G178</f>
      </c>
      <c r="K178" s="138" t="s">
        <v>116</v>
      </c>
      <c r="Z178" s="136">
        <f>IF(AQ178="5",BJ178,0)</f>
      </c>
      <c r="AB178" s="136">
        <f>IF(AQ178="1",BH178,0)</f>
      </c>
      <c r="AC178" s="136">
        <f>IF(AQ178="1",BI178,0)</f>
      </c>
      <c r="AD178" s="136">
        <f>IF(AQ178="7",BH178,0)</f>
      </c>
      <c r="AE178" s="136">
        <f>IF(AQ178="7",BI178,0)</f>
      </c>
      <c r="AF178" s="136">
        <f>IF(AQ178="2",BH178,0)</f>
      </c>
      <c r="AG178" s="136">
        <f>IF(AQ178="2",BI178,0)</f>
      </c>
      <c r="AH178" s="136">
        <f>IF(AQ178="0",BJ178,0)</f>
      </c>
      <c r="AI178" s="112" t="s">
        <v>10</v>
      </c>
      <c r="AJ178" s="136">
        <f>IF(AN178=0,J178,0)</f>
      </c>
      <c r="AK178" s="136">
        <f>IF(AN178=12,J178,0)</f>
      </c>
      <c r="AL178" s="136">
        <f>IF(AN178=21,J178,0)</f>
      </c>
      <c r="AN178" s="136" t="n">
        <v>21</v>
      </c>
      <c r="AO178" s="136">
        <f>G178*0.010896212</f>
      </c>
      <c r="AP178" s="136">
        <f>G178*(1-0.010896212)</f>
      </c>
      <c r="AQ178" s="139" t="s">
        <v>130</v>
      </c>
      <c r="AV178" s="136">
        <f>AW178+AX178</f>
      </c>
      <c r="AW178" s="136">
        <f>F178*AO178</f>
      </c>
      <c r="AX178" s="136">
        <f>F178*AP178</f>
      </c>
      <c r="AY178" s="139" t="s">
        <v>394</v>
      </c>
      <c r="AZ178" s="139" t="s">
        <v>395</v>
      </c>
      <c r="BA178" s="112" t="s">
        <v>119</v>
      </c>
      <c r="BC178" s="136">
        <f>AW178+AX178</f>
      </c>
      <c r="BD178" s="136">
        <f>G178/(100-BE178)*100</f>
      </c>
      <c r="BE178" s="136" t="n">
        <v>0</v>
      </c>
      <c r="BF178" s="136">
        <f>178</f>
      </c>
      <c r="BH178" s="136">
        <f>F178*AO178</f>
      </c>
      <c r="BI178" s="136">
        <f>F178*AP178</f>
      </c>
      <c r="BJ178" s="136">
        <f>F178*G178</f>
      </c>
      <c r="BK178" s="136"/>
      <c r="BL178" s="136" t="n">
        <v>91</v>
      </c>
      <c r="BW178" s="136" t="n">
        <v>21</v>
      </c>
      <c r="BX178" s="14" t="s">
        <v>169</v>
      </c>
    </row>
    <row r="179">
      <c r="A179" s="140"/>
      <c r="B179" s="141" t="s">
        <v>131</v>
      </c>
      <c r="C179" s="142" t="s">
        <v>170</v>
      </c>
      <c r="D179" s="143"/>
      <c r="E179" s="143"/>
      <c r="F179" s="143"/>
      <c r="G179" s="144"/>
      <c r="H179" s="143"/>
      <c r="I179" s="143"/>
      <c r="J179" s="143"/>
      <c r="K179" s="145"/>
      <c r="BX179" s="142" t="s">
        <v>170</v>
      </c>
    </row>
    <row r="180">
      <c r="A180" s="130" t="s">
        <v>10</v>
      </c>
      <c r="B180" s="131" t="s">
        <v>455</v>
      </c>
      <c r="C180" s="132" t="s">
        <v>456</v>
      </c>
      <c r="D180" s="131"/>
      <c r="E180" s="133" t="s">
        <v>74</v>
      </c>
      <c r="F180" s="133" t="s">
        <v>74</v>
      </c>
      <c r="G180" s="134" t="s">
        <v>74</v>
      </c>
      <c r="H180" s="94">
        <f>SUM(H181:H190)</f>
      </c>
      <c r="I180" s="94">
        <f>SUM(I181:I190)</f>
      </c>
      <c r="J180" s="94">
        <f>SUM(J181:J190)</f>
      </c>
      <c r="K180" s="135" t="s">
        <v>10</v>
      </c>
      <c r="AI180" s="112" t="s">
        <v>10</v>
      </c>
      <c r="AS180" s="94">
        <f>SUM(AJ181:AJ190)</f>
      </c>
      <c r="AT180" s="94">
        <f>SUM(AK181:AK190)</f>
      </c>
      <c r="AU180" s="94">
        <f>SUM(AL181:AL190)</f>
      </c>
    </row>
    <row r="181">
      <c r="A181" s="9" t="s">
        <v>389</v>
      </c>
      <c r="B181" s="10" t="s">
        <v>457</v>
      </c>
      <c r="C181" s="14" t="s">
        <v>458</v>
      </c>
      <c r="D181" s="10"/>
      <c r="E181" s="10" t="s">
        <v>200</v>
      </c>
      <c r="F181" s="136" t="n">
        <v>10</v>
      </c>
      <c r="G181" s="137" t="n">
        <v>0</v>
      </c>
      <c r="H181" s="136">
        <f>F181*AO181</f>
      </c>
      <c r="I181" s="136">
        <f>F181*AP181</f>
      </c>
      <c r="J181" s="136">
        <f>F181*G181</f>
      </c>
      <c r="K181" s="138" t="s">
        <v>116</v>
      </c>
      <c r="Z181" s="136">
        <f>IF(AQ181="5",BJ181,0)</f>
      </c>
      <c r="AB181" s="136">
        <f>IF(AQ181="1",BH181,0)</f>
      </c>
      <c r="AC181" s="136">
        <f>IF(AQ181="1",BI181,0)</f>
      </c>
      <c r="AD181" s="136">
        <f>IF(AQ181="7",BH181,0)</f>
      </c>
      <c r="AE181" s="136">
        <f>IF(AQ181="7",BI181,0)</f>
      </c>
      <c r="AF181" s="136">
        <f>IF(AQ181="2",BH181,0)</f>
      </c>
      <c r="AG181" s="136">
        <f>IF(AQ181="2",BI181,0)</f>
      </c>
      <c r="AH181" s="136">
        <f>IF(AQ181="0",BJ181,0)</f>
      </c>
      <c r="AI181" s="112" t="s">
        <v>10</v>
      </c>
      <c r="AJ181" s="136">
        <f>IF(AN181=0,J181,0)</f>
      </c>
      <c r="AK181" s="136">
        <f>IF(AN181=12,J181,0)</f>
      </c>
      <c r="AL181" s="136">
        <f>IF(AN181=21,J181,0)</f>
      </c>
      <c r="AN181" s="136" t="n">
        <v>21</v>
      </c>
      <c r="AO181" s="136">
        <f>G181*0.536304481</f>
      </c>
      <c r="AP181" s="136">
        <f>G181*(1-0.536304481)</f>
      </c>
      <c r="AQ181" s="139" t="s">
        <v>120</v>
      </c>
      <c r="AV181" s="136">
        <f>AW181+AX181</f>
      </c>
      <c r="AW181" s="136">
        <f>F181*AO181</f>
      </c>
      <c r="AX181" s="136">
        <f>F181*AP181</f>
      </c>
      <c r="AY181" s="139" t="s">
        <v>459</v>
      </c>
      <c r="AZ181" s="139" t="s">
        <v>395</v>
      </c>
      <c r="BA181" s="112" t="s">
        <v>119</v>
      </c>
      <c r="BC181" s="136">
        <f>AW181+AX181</f>
      </c>
      <c r="BD181" s="136">
        <f>G181/(100-BE181)*100</f>
      </c>
      <c r="BE181" s="136" t="n">
        <v>0</v>
      </c>
      <c r="BF181" s="136">
        <f>181</f>
      </c>
      <c r="BH181" s="136">
        <f>F181*AO181</f>
      </c>
      <c r="BI181" s="136">
        <f>F181*AP181</f>
      </c>
      <c r="BJ181" s="136">
        <f>F181*G181</f>
      </c>
      <c r="BK181" s="136"/>
      <c r="BL181" s="136"/>
      <c r="BW181" s="136" t="n">
        <v>21</v>
      </c>
      <c r="BX181" s="14" t="s">
        <v>458</v>
      </c>
    </row>
    <row r="182" customHeight="true" ht="13.5">
      <c r="A182" s="140"/>
      <c r="B182" s="141" t="s">
        <v>209</v>
      </c>
      <c r="C182" s="142" t="s">
        <v>460</v>
      </c>
      <c r="D182" s="143"/>
      <c r="E182" s="143"/>
      <c r="F182" s="143"/>
      <c r="G182" s="144"/>
      <c r="H182" s="143"/>
      <c r="I182" s="143"/>
      <c r="J182" s="143"/>
      <c r="K182" s="145"/>
    </row>
    <row r="183">
      <c r="A183" s="9" t="s">
        <v>461</v>
      </c>
      <c r="B183" s="10" t="s">
        <v>462</v>
      </c>
      <c r="C183" s="14" t="s">
        <v>463</v>
      </c>
      <c r="D183" s="10"/>
      <c r="E183" s="10" t="s">
        <v>200</v>
      </c>
      <c r="F183" s="136" t="n">
        <v>7</v>
      </c>
      <c r="G183" s="137" t="n">
        <v>0</v>
      </c>
      <c r="H183" s="136">
        <f>F183*AO183</f>
      </c>
      <c r="I183" s="136">
        <f>F183*AP183</f>
      </c>
      <c r="J183" s="136">
        <f>F183*G183</f>
      </c>
      <c r="K183" s="138" t="s">
        <v>116</v>
      </c>
      <c r="Z183" s="136">
        <f>IF(AQ183="5",BJ183,0)</f>
      </c>
      <c r="AB183" s="136">
        <f>IF(AQ183="1",BH183,0)</f>
      </c>
      <c r="AC183" s="136">
        <f>IF(AQ183="1",BI183,0)</f>
      </c>
      <c r="AD183" s="136">
        <f>IF(AQ183="7",BH183,0)</f>
      </c>
      <c r="AE183" s="136">
        <f>IF(AQ183="7",BI183,0)</f>
      </c>
      <c r="AF183" s="136">
        <f>IF(AQ183="2",BH183,0)</f>
      </c>
      <c r="AG183" s="136">
        <f>IF(AQ183="2",BI183,0)</f>
      </c>
      <c r="AH183" s="136">
        <f>IF(AQ183="0",BJ183,0)</f>
      </c>
      <c r="AI183" s="112" t="s">
        <v>10</v>
      </c>
      <c r="AJ183" s="136">
        <f>IF(AN183=0,J183,0)</f>
      </c>
      <c r="AK183" s="136">
        <f>IF(AN183=12,J183,0)</f>
      </c>
      <c r="AL183" s="136">
        <f>IF(AN183=21,J183,0)</f>
      </c>
      <c r="AN183" s="136" t="n">
        <v>21</v>
      </c>
      <c r="AO183" s="136">
        <f>G183*0</f>
      </c>
      <c r="AP183" s="136">
        <f>G183*(1-0)</f>
      </c>
      <c r="AQ183" s="139" t="s">
        <v>120</v>
      </c>
      <c r="AV183" s="136">
        <f>AW183+AX183</f>
      </c>
      <c r="AW183" s="136">
        <f>F183*AO183</f>
      </c>
      <c r="AX183" s="136">
        <f>F183*AP183</f>
      </c>
      <c r="AY183" s="139" t="s">
        <v>459</v>
      </c>
      <c r="AZ183" s="139" t="s">
        <v>395</v>
      </c>
      <c r="BA183" s="112" t="s">
        <v>119</v>
      </c>
      <c r="BC183" s="136">
        <f>AW183+AX183</f>
      </c>
      <c r="BD183" s="136">
        <f>G183/(100-BE183)*100</f>
      </c>
      <c r="BE183" s="136" t="n">
        <v>0</v>
      </c>
      <c r="BF183" s="136">
        <f>183</f>
      </c>
      <c r="BH183" s="136">
        <f>F183*AO183</f>
      </c>
      <c r="BI183" s="136">
        <f>F183*AP183</f>
      </c>
      <c r="BJ183" s="136">
        <f>F183*G183</f>
      </c>
      <c r="BK183" s="136"/>
      <c r="BL183" s="136"/>
      <c r="BW183" s="136" t="n">
        <v>21</v>
      </c>
      <c r="BX183" s="14" t="s">
        <v>463</v>
      </c>
    </row>
    <row r="184">
      <c r="A184" s="9" t="s">
        <v>464</v>
      </c>
      <c r="B184" s="10" t="s">
        <v>465</v>
      </c>
      <c r="C184" s="14" t="s">
        <v>466</v>
      </c>
      <c r="D184" s="10"/>
      <c r="E184" s="10" t="s">
        <v>200</v>
      </c>
      <c r="F184" s="136" t="n">
        <v>12</v>
      </c>
      <c r="G184" s="137" t="n">
        <v>0</v>
      </c>
      <c r="H184" s="136">
        <f>F184*AO184</f>
      </c>
      <c r="I184" s="136">
        <f>F184*AP184</f>
      </c>
      <c r="J184" s="136">
        <f>F184*G184</f>
      </c>
      <c r="K184" s="138" t="s">
        <v>116</v>
      </c>
      <c r="Z184" s="136">
        <f>IF(AQ184="5",BJ184,0)</f>
      </c>
      <c r="AB184" s="136">
        <f>IF(AQ184="1",BH184,0)</f>
      </c>
      <c r="AC184" s="136">
        <f>IF(AQ184="1",BI184,0)</f>
      </c>
      <c r="AD184" s="136">
        <f>IF(AQ184="7",BH184,0)</f>
      </c>
      <c r="AE184" s="136">
        <f>IF(AQ184="7",BI184,0)</f>
      </c>
      <c r="AF184" s="136">
        <f>IF(AQ184="2",BH184,0)</f>
      </c>
      <c r="AG184" s="136">
        <f>IF(AQ184="2",BI184,0)</f>
      </c>
      <c r="AH184" s="136">
        <f>IF(AQ184="0",BJ184,0)</f>
      </c>
      <c r="AI184" s="112" t="s">
        <v>10</v>
      </c>
      <c r="AJ184" s="136">
        <f>IF(AN184=0,J184,0)</f>
      </c>
      <c r="AK184" s="136">
        <f>IF(AN184=12,J184,0)</f>
      </c>
      <c r="AL184" s="136">
        <f>IF(AN184=21,J184,0)</f>
      </c>
      <c r="AN184" s="136" t="n">
        <v>21</v>
      </c>
      <c r="AO184" s="136">
        <f>G184*0</f>
      </c>
      <c r="AP184" s="136">
        <f>G184*(1-0)</f>
      </c>
      <c r="AQ184" s="139" t="s">
        <v>120</v>
      </c>
      <c r="AV184" s="136">
        <f>AW184+AX184</f>
      </c>
      <c r="AW184" s="136">
        <f>F184*AO184</f>
      </c>
      <c r="AX184" s="136">
        <f>F184*AP184</f>
      </c>
      <c r="AY184" s="139" t="s">
        <v>459</v>
      </c>
      <c r="AZ184" s="139" t="s">
        <v>395</v>
      </c>
      <c r="BA184" s="112" t="s">
        <v>119</v>
      </c>
      <c r="BC184" s="136">
        <f>AW184+AX184</f>
      </c>
      <c r="BD184" s="136">
        <f>G184/(100-BE184)*100</f>
      </c>
      <c r="BE184" s="136" t="n">
        <v>0</v>
      </c>
      <c r="BF184" s="136">
        <f>184</f>
      </c>
      <c r="BH184" s="136">
        <f>F184*AO184</f>
      </c>
      <c r="BI184" s="136">
        <f>F184*AP184</f>
      </c>
      <c r="BJ184" s="136">
        <f>F184*G184</f>
      </c>
      <c r="BK184" s="136"/>
      <c r="BL184" s="136"/>
      <c r="BW184" s="136" t="n">
        <v>21</v>
      </c>
      <c r="BX184" s="14" t="s">
        <v>466</v>
      </c>
    </row>
    <row r="185">
      <c r="A185" s="9" t="s">
        <v>467</v>
      </c>
      <c r="B185" s="10" t="s">
        <v>468</v>
      </c>
      <c r="C185" s="14" t="s">
        <v>469</v>
      </c>
      <c r="D185" s="10"/>
      <c r="E185" s="10" t="s">
        <v>200</v>
      </c>
      <c r="F185" s="136" t="n">
        <v>8</v>
      </c>
      <c r="G185" s="137" t="n">
        <v>0</v>
      </c>
      <c r="H185" s="136">
        <f>F185*AO185</f>
      </c>
      <c r="I185" s="136">
        <f>F185*AP185</f>
      </c>
      <c r="J185" s="136">
        <f>F185*G185</f>
      </c>
      <c r="K185" s="138" t="s">
        <v>116</v>
      </c>
      <c r="Z185" s="136">
        <f>IF(AQ185="5",BJ185,0)</f>
      </c>
      <c r="AB185" s="136">
        <f>IF(AQ185="1",BH185,0)</f>
      </c>
      <c r="AC185" s="136">
        <f>IF(AQ185="1",BI185,0)</f>
      </c>
      <c r="AD185" s="136">
        <f>IF(AQ185="7",BH185,0)</f>
      </c>
      <c r="AE185" s="136">
        <f>IF(AQ185="7",BI185,0)</f>
      </c>
      <c r="AF185" s="136">
        <f>IF(AQ185="2",BH185,0)</f>
      </c>
      <c r="AG185" s="136">
        <f>IF(AQ185="2",BI185,0)</f>
      </c>
      <c r="AH185" s="136">
        <f>IF(AQ185="0",BJ185,0)</f>
      </c>
      <c r="AI185" s="112" t="s">
        <v>10</v>
      </c>
      <c r="AJ185" s="136">
        <f>IF(AN185=0,J185,0)</f>
      </c>
      <c r="AK185" s="136">
        <f>IF(AN185=12,J185,0)</f>
      </c>
      <c r="AL185" s="136">
        <f>IF(AN185=21,J185,0)</f>
      </c>
      <c r="AN185" s="136" t="n">
        <v>21</v>
      </c>
      <c r="AO185" s="136">
        <f>G185*0.632527896</f>
      </c>
      <c r="AP185" s="136">
        <f>G185*(1-0.632527896)</f>
      </c>
      <c r="AQ185" s="139" t="s">
        <v>120</v>
      </c>
      <c r="AV185" s="136">
        <f>AW185+AX185</f>
      </c>
      <c r="AW185" s="136">
        <f>F185*AO185</f>
      </c>
      <c r="AX185" s="136">
        <f>F185*AP185</f>
      </c>
      <c r="AY185" s="139" t="s">
        <v>459</v>
      </c>
      <c r="AZ185" s="139" t="s">
        <v>395</v>
      </c>
      <c r="BA185" s="112" t="s">
        <v>119</v>
      </c>
      <c r="BC185" s="136">
        <f>AW185+AX185</f>
      </c>
      <c r="BD185" s="136">
        <f>G185/(100-BE185)*100</f>
      </c>
      <c r="BE185" s="136" t="n">
        <v>0</v>
      </c>
      <c r="BF185" s="136">
        <f>185</f>
      </c>
      <c r="BH185" s="136">
        <f>F185*AO185</f>
      </c>
      <c r="BI185" s="136">
        <f>F185*AP185</f>
      </c>
      <c r="BJ185" s="136">
        <f>F185*G185</f>
      </c>
      <c r="BK185" s="136"/>
      <c r="BL185" s="136"/>
      <c r="BW185" s="136" t="n">
        <v>21</v>
      </c>
      <c r="BX185" s="14" t="s">
        <v>469</v>
      </c>
    </row>
    <row r="186" customHeight="true" ht="13.5">
      <c r="A186" s="140"/>
      <c r="B186" s="141" t="s">
        <v>209</v>
      </c>
      <c r="C186" s="142" t="s">
        <v>460</v>
      </c>
      <c r="D186" s="143"/>
      <c r="E186" s="143"/>
      <c r="F186" s="143"/>
      <c r="G186" s="144"/>
      <c r="H186" s="143"/>
      <c r="I186" s="143"/>
      <c r="J186" s="143"/>
      <c r="K186" s="145"/>
    </row>
    <row r="187">
      <c r="A187" s="9" t="s">
        <v>470</v>
      </c>
      <c r="B187" s="10" t="s">
        <v>471</v>
      </c>
      <c r="C187" s="14" t="s">
        <v>472</v>
      </c>
      <c r="D187" s="10"/>
      <c r="E187" s="10" t="s">
        <v>115</v>
      </c>
      <c r="F187" s="136" t="n">
        <v>121</v>
      </c>
      <c r="G187" s="137" t="n">
        <v>0</v>
      </c>
      <c r="H187" s="136">
        <f>F187*AO187</f>
      </c>
      <c r="I187" s="136">
        <f>F187*AP187</f>
      </c>
      <c r="J187" s="136">
        <f>F187*G187</f>
      </c>
      <c r="K187" s="138" t="s">
        <v>116</v>
      </c>
      <c r="Z187" s="136">
        <f>IF(AQ187="5",BJ187,0)</f>
      </c>
      <c r="AB187" s="136">
        <f>IF(AQ187="1",BH187,0)</f>
      </c>
      <c r="AC187" s="136">
        <f>IF(AQ187="1",BI187,0)</f>
      </c>
      <c r="AD187" s="136">
        <f>IF(AQ187="7",BH187,0)</f>
      </c>
      <c r="AE187" s="136">
        <f>IF(AQ187="7",BI187,0)</f>
      </c>
      <c r="AF187" s="136">
        <f>IF(AQ187="2",BH187,0)</f>
      </c>
      <c r="AG187" s="136">
        <f>IF(AQ187="2",BI187,0)</f>
      </c>
      <c r="AH187" s="136">
        <f>IF(AQ187="0",BJ187,0)</f>
      </c>
      <c r="AI187" s="112" t="s">
        <v>10</v>
      </c>
      <c r="AJ187" s="136">
        <f>IF(AN187=0,J187,0)</f>
      </c>
      <c r="AK187" s="136">
        <f>IF(AN187=12,J187,0)</f>
      </c>
      <c r="AL187" s="136">
        <f>IF(AN187=21,J187,0)</f>
      </c>
      <c r="AN187" s="136" t="n">
        <v>21</v>
      </c>
      <c r="AO187" s="136">
        <f>G187*0.766518106</f>
      </c>
      <c r="AP187" s="136">
        <f>G187*(1-0.766518106)</f>
      </c>
      <c r="AQ187" s="139" t="s">
        <v>120</v>
      </c>
      <c r="AV187" s="136">
        <f>AW187+AX187</f>
      </c>
      <c r="AW187" s="136">
        <f>F187*AO187</f>
      </c>
      <c r="AX187" s="136">
        <f>F187*AP187</f>
      </c>
      <c r="AY187" s="139" t="s">
        <v>459</v>
      </c>
      <c r="AZ187" s="139" t="s">
        <v>395</v>
      </c>
      <c r="BA187" s="112" t="s">
        <v>119</v>
      </c>
      <c r="BC187" s="136">
        <f>AW187+AX187</f>
      </c>
      <c r="BD187" s="136">
        <f>G187/(100-BE187)*100</f>
      </c>
      <c r="BE187" s="136" t="n">
        <v>0</v>
      </c>
      <c r="BF187" s="136">
        <f>187</f>
      </c>
      <c r="BH187" s="136">
        <f>F187*AO187</f>
      </c>
      <c r="BI187" s="136">
        <f>F187*AP187</f>
      </c>
      <c r="BJ187" s="136">
        <f>F187*G187</f>
      </c>
      <c r="BK187" s="136"/>
      <c r="BL187" s="136"/>
      <c r="BW187" s="136" t="n">
        <v>21</v>
      </c>
      <c r="BX187" s="14" t="s">
        <v>472</v>
      </c>
    </row>
    <row r="188" customHeight="true" ht="13.5">
      <c r="A188" s="140"/>
      <c r="B188" s="141" t="s">
        <v>209</v>
      </c>
      <c r="C188" s="142" t="s">
        <v>473</v>
      </c>
      <c r="D188" s="143"/>
      <c r="E188" s="143"/>
      <c r="F188" s="143"/>
      <c r="G188" s="144"/>
      <c r="H188" s="143"/>
      <c r="I188" s="143"/>
      <c r="J188" s="143"/>
      <c r="K188" s="145"/>
    </row>
    <row r="189">
      <c r="A189" s="9" t="s">
        <v>474</v>
      </c>
      <c r="B189" s="10" t="s">
        <v>475</v>
      </c>
      <c r="C189" s="14" t="s">
        <v>476</v>
      </c>
      <c r="D189" s="10"/>
      <c r="E189" s="10" t="s">
        <v>200</v>
      </c>
      <c r="F189" s="136" t="n">
        <v>4</v>
      </c>
      <c r="G189" s="137" t="n">
        <v>0</v>
      </c>
      <c r="H189" s="136">
        <f>F189*AO189</f>
      </c>
      <c r="I189" s="136">
        <f>F189*AP189</f>
      </c>
      <c r="J189" s="136">
        <f>F189*G189</f>
      </c>
      <c r="K189" s="138" t="s">
        <v>116</v>
      </c>
      <c r="Z189" s="136">
        <f>IF(AQ189="5",BJ189,0)</f>
      </c>
      <c r="AB189" s="136">
        <f>IF(AQ189="1",BH189,0)</f>
      </c>
      <c r="AC189" s="136">
        <f>IF(AQ189="1",BI189,0)</f>
      </c>
      <c r="AD189" s="136">
        <f>IF(AQ189="7",BH189,0)</f>
      </c>
      <c r="AE189" s="136">
        <f>IF(AQ189="7",BI189,0)</f>
      </c>
      <c r="AF189" s="136">
        <f>IF(AQ189="2",BH189,0)</f>
      </c>
      <c r="AG189" s="136">
        <f>IF(AQ189="2",BI189,0)</f>
      </c>
      <c r="AH189" s="136">
        <f>IF(AQ189="0",BJ189,0)</f>
      </c>
      <c r="AI189" s="112" t="s">
        <v>10</v>
      </c>
      <c r="AJ189" s="136">
        <f>IF(AN189=0,J189,0)</f>
      </c>
      <c r="AK189" s="136">
        <f>IF(AN189=12,J189,0)</f>
      </c>
      <c r="AL189" s="136">
        <f>IF(AN189=21,J189,0)</f>
      </c>
      <c r="AN189" s="136" t="n">
        <v>21</v>
      </c>
      <c r="AO189" s="136">
        <f>G189*0</f>
      </c>
      <c r="AP189" s="136">
        <f>G189*(1-0)</f>
      </c>
      <c r="AQ189" s="139" t="s">
        <v>120</v>
      </c>
      <c r="AV189" s="136">
        <f>AW189+AX189</f>
      </c>
      <c r="AW189" s="136">
        <f>F189*AO189</f>
      </c>
      <c r="AX189" s="136">
        <f>F189*AP189</f>
      </c>
      <c r="AY189" s="139" t="s">
        <v>459</v>
      </c>
      <c r="AZ189" s="139" t="s">
        <v>395</v>
      </c>
      <c r="BA189" s="112" t="s">
        <v>119</v>
      </c>
      <c r="BC189" s="136">
        <f>AW189+AX189</f>
      </c>
      <c r="BD189" s="136">
        <f>G189/(100-BE189)*100</f>
      </c>
      <c r="BE189" s="136" t="n">
        <v>0</v>
      </c>
      <c r="BF189" s="136">
        <f>189</f>
      </c>
      <c r="BH189" s="136">
        <f>F189*AO189</f>
      </c>
      <c r="BI189" s="136">
        <f>F189*AP189</f>
      </c>
      <c r="BJ189" s="136">
        <f>F189*G189</f>
      </c>
      <c r="BK189" s="136"/>
      <c r="BL189" s="136"/>
      <c r="BW189" s="136" t="n">
        <v>21</v>
      </c>
      <c r="BX189" s="14" t="s">
        <v>476</v>
      </c>
    </row>
    <row r="190">
      <c r="A190" s="9" t="s">
        <v>477</v>
      </c>
      <c r="B190" s="10" t="s">
        <v>478</v>
      </c>
      <c r="C190" s="14" t="s">
        <v>479</v>
      </c>
      <c r="D190" s="10"/>
      <c r="E190" s="10" t="s">
        <v>200</v>
      </c>
      <c r="F190" s="136" t="n">
        <v>4</v>
      </c>
      <c r="G190" s="137" t="n">
        <v>0</v>
      </c>
      <c r="H190" s="136">
        <f>F190*AO190</f>
      </c>
      <c r="I190" s="136">
        <f>F190*AP190</f>
      </c>
      <c r="J190" s="136">
        <f>F190*G190</f>
      </c>
      <c r="K190" s="138" t="s">
        <v>116</v>
      </c>
      <c r="Z190" s="136">
        <f>IF(AQ190="5",BJ190,0)</f>
      </c>
      <c r="AB190" s="136">
        <f>IF(AQ190="1",BH190,0)</f>
      </c>
      <c r="AC190" s="136">
        <f>IF(AQ190="1",BI190,0)</f>
      </c>
      <c r="AD190" s="136">
        <f>IF(AQ190="7",BH190,0)</f>
      </c>
      <c r="AE190" s="136">
        <f>IF(AQ190="7",BI190,0)</f>
      </c>
      <c r="AF190" s="136">
        <f>IF(AQ190="2",BH190,0)</f>
      </c>
      <c r="AG190" s="136">
        <f>IF(AQ190="2",BI190,0)</f>
      </c>
      <c r="AH190" s="136">
        <f>IF(AQ190="0",BJ190,0)</f>
      </c>
      <c r="AI190" s="112" t="s">
        <v>10</v>
      </c>
      <c r="AJ190" s="136">
        <f>IF(AN190=0,J190,0)</f>
      </c>
      <c r="AK190" s="136">
        <f>IF(AN190=12,J190,0)</f>
      </c>
      <c r="AL190" s="136">
        <f>IF(AN190=21,J190,0)</f>
      </c>
      <c r="AN190" s="136" t="n">
        <v>21</v>
      </c>
      <c r="AO190" s="136">
        <f>G190*1</f>
      </c>
      <c r="AP190" s="136">
        <f>G190*(1-1)</f>
      </c>
      <c r="AQ190" s="139" t="s">
        <v>120</v>
      </c>
      <c r="AV190" s="136">
        <f>AW190+AX190</f>
      </c>
      <c r="AW190" s="136">
        <f>F190*AO190</f>
      </c>
      <c r="AX190" s="136">
        <f>F190*AP190</f>
      </c>
      <c r="AY190" s="139" t="s">
        <v>459</v>
      </c>
      <c r="AZ190" s="139" t="s">
        <v>395</v>
      </c>
      <c r="BA190" s="112" t="s">
        <v>119</v>
      </c>
      <c r="BC190" s="136">
        <f>AW190+AX190</f>
      </c>
      <c r="BD190" s="136">
        <f>G190/(100-BE190)*100</f>
      </c>
      <c r="BE190" s="136" t="n">
        <v>0</v>
      </c>
      <c r="BF190" s="136">
        <f>190</f>
      </c>
      <c r="BH190" s="136">
        <f>F190*AO190</f>
      </c>
      <c r="BI190" s="136">
        <f>F190*AP190</f>
      </c>
      <c r="BJ190" s="136">
        <f>F190*G190</f>
      </c>
      <c r="BK190" s="136"/>
      <c r="BL190" s="136"/>
      <c r="BW190" s="136" t="n">
        <v>21</v>
      </c>
      <c r="BX190" s="14" t="s">
        <v>479</v>
      </c>
    </row>
    <row r="191">
      <c r="A191" s="130" t="s">
        <v>10</v>
      </c>
      <c r="B191" s="131" t="s">
        <v>480</v>
      </c>
      <c r="C191" s="132" t="s">
        <v>481</v>
      </c>
      <c r="D191" s="131"/>
      <c r="E191" s="133" t="s">
        <v>74</v>
      </c>
      <c r="F191" s="133" t="s">
        <v>74</v>
      </c>
      <c r="G191" s="134" t="s">
        <v>74</v>
      </c>
      <c r="H191" s="94">
        <f>SUM(H192:H203)</f>
      </c>
      <c r="I191" s="94">
        <f>SUM(I192:I203)</f>
      </c>
      <c r="J191" s="94">
        <f>SUM(J192:J203)</f>
      </c>
      <c r="K191" s="135" t="s">
        <v>10</v>
      </c>
      <c r="AI191" s="112" t="s">
        <v>10</v>
      </c>
      <c r="AS191" s="94">
        <f>SUM(AJ192:AJ203)</f>
      </c>
      <c r="AT191" s="94">
        <f>SUM(AK192:AK203)</f>
      </c>
      <c r="AU191" s="94">
        <f>SUM(AL192:AL203)</f>
      </c>
    </row>
    <row r="192">
      <c r="A192" s="9" t="s">
        <v>482</v>
      </c>
      <c r="B192" s="10" t="s">
        <v>483</v>
      </c>
      <c r="C192" s="14" t="s">
        <v>484</v>
      </c>
      <c r="D192" s="10"/>
      <c r="E192" s="10" t="s">
        <v>115</v>
      </c>
      <c r="F192" s="136" t="n">
        <v>621</v>
      </c>
      <c r="G192" s="137" t="n">
        <v>0</v>
      </c>
      <c r="H192" s="136">
        <f>F192*AO192</f>
      </c>
      <c r="I192" s="136">
        <f>F192*AP192</f>
      </c>
      <c r="J192" s="136">
        <f>F192*G192</f>
      </c>
      <c r="K192" s="138" t="s">
        <v>116</v>
      </c>
      <c r="Z192" s="136">
        <f>IF(AQ192="5",BJ192,0)</f>
      </c>
      <c r="AB192" s="136">
        <f>IF(AQ192="1",BH192,0)</f>
      </c>
      <c r="AC192" s="136">
        <f>IF(AQ192="1",BI192,0)</f>
      </c>
      <c r="AD192" s="136">
        <f>IF(AQ192="7",BH192,0)</f>
      </c>
      <c r="AE192" s="136">
        <f>IF(AQ192="7",BI192,0)</f>
      </c>
      <c r="AF192" s="136">
        <f>IF(AQ192="2",BH192,0)</f>
      </c>
      <c r="AG192" s="136">
        <f>IF(AQ192="2",BI192,0)</f>
      </c>
      <c r="AH192" s="136">
        <f>IF(AQ192="0",BJ192,0)</f>
      </c>
      <c r="AI192" s="112" t="s">
        <v>10</v>
      </c>
      <c r="AJ192" s="136">
        <f>IF(AN192=0,J192,0)</f>
      </c>
      <c r="AK192" s="136">
        <f>IF(AN192=12,J192,0)</f>
      </c>
      <c r="AL192" s="136">
        <f>IF(AN192=21,J192,0)</f>
      </c>
      <c r="AN192" s="136" t="n">
        <v>21</v>
      </c>
      <c r="AO192" s="136">
        <f>G192*0</f>
      </c>
      <c r="AP192" s="136">
        <f>G192*(1-0)</f>
      </c>
      <c r="AQ192" s="139" t="s">
        <v>120</v>
      </c>
      <c r="AV192" s="136">
        <f>AW192+AX192</f>
      </c>
      <c r="AW192" s="136">
        <f>F192*AO192</f>
      </c>
      <c r="AX192" s="136">
        <f>F192*AP192</f>
      </c>
      <c r="AY192" s="139" t="s">
        <v>485</v>
      </c>
      <c r="AZ192" s="139" t="s">
        <v>395</v>
      </c>
      <c r="BA192" s="112" t="s">
        <v>119</v>
      </c>
      <c r="BC192" s="136">
        <f>AW192+AX192</f>
      </c>
      <c r="BD192" s="136">
        <f>G192/(100-BE192)*100</f>
      </c>
      <c r="BE192" s="136" t="n">
        <v>0</v>
      </c>
      <c r="BF192" s="136">
        <f>192</f>
      </c>
      <c r="BH192" s="136">
        <f>F192*AO192</f>
      </c>
      <c r="BI192" s="136">
        <f>F192*AP192</f>
      </c>
      <c r="BJ192" s="136">
        <f>F192*G192</f>
      </c>
      <c r="BK192" s="136"/>
      <c r="BL192" s="136"/>
      <c r="BW192" s="136" t="n">
        <v>21</v>
      </c>
      <c r="BX192" s="14" t="s">
        <v>484</v>
      </c>
    </row>
    <row r="193" customHeight="true" ht="13.5">
      <c r="A193" s="140"/>
      <c r="B193" s="141" t="s">
        <v>209</v>
      </c>
      <c r="C193" s="142" t="s">
        <v>486</v>
      </c>
      <c r="D193" s="143"/>
      <c r="E193" s="143"/>
      <c r="F193" s="143"/>
      <c r="G193" s="144"/>
      <c r="H193" s="143"/>
      <c r="I193" s="143"/>
      <c r="J193" s="143"/>
      <c r="K193" s="145"/>
    </row>
    <row r="194">
      <c r="A194" s="9" t="s">
        <v>487</v>
      </c>
      <c r="B194" s="10" t="s">
        <v>488</v>
      </c>
      <c r="C194" s="14" t="s">
        <v>489</v>
      </c>
      <c r="D194" s="10"/>
      <c r="E194" s="10" t="s">
        <v>115</v>
      </c>
      <c r="F194" s="136" t="n">
        <v>621</v>
      </c>
      <c r="G194" s="137" t="n">
        <v>0</v>
      </c>
      <c r="H194" s="136">
        <f>F194*AO194</f>
      </c>
      <c r="I194" s="136">
        <f>F194*AP194</f>
      </c>
      <c r="J194" s="136">
        <f>F194*G194</f>
      </c>
      <c r="K194" s="138" t="s">
        <v>116</v>
      </c>
      <c r="Z194" s="136">
        <f>IF(AQ194="5",BJ194,0)</f>
      </c>
      <c r="AB194" s="136">
        <f>IF(AQ194="1",BH194,0)</f>
      </c>
      <c r="AC194" s="136">
        <f>IF(AQ194="1",BI194,0)</f>
      </c>
      <c r="AD194" s="136">
        <f>IF(AQ194="7",BH194,0)</f>
      </c>
      <c r="AE194" s="136">
        <f>IF(AQ194="7",BI194,0)</f>
      </c>
      <c r="AF194" s="136">
        <f>IF(AQ194="2",BH194,0)</f>
      </c>
      <c r="AG194" s="136">
        <f>IF(AQ194="2",BI194,0)</f>
      </c>
      <c r="AH194" s="136">
        <f>IF(AQ194="0",BJ194,0)</f>
      </c>
      <c r="AI194" s="112" t="s">
        <v>10</v>
      </c>
      <c r="AJ194" s="136">
        <f>IF(AN194=0,J194,0)</f>
      </c>
      <c r="AK194" s="136">
        <f>IF(AN194=12,J194,0)</f>
      </c>
      <c r="AL194" s="136">
        <f>IF(AN194=21,J194,0)</f>
      </c>
      <c r="AN194" s="136" t="n">
        <v>21</v>
      </c>
      <c r="AO194" s="136">
        <f>G194*0.614577191</f>
      </c>
      <c r="AP194" s="136">
        <f>G194*(1-0.614577191)</f>
      </c>
      <c r="AQ194" s="139" t="s">
        <v>120</v>
      </c>
      <c r="AV194" s="136">
        <f>AW194+AX194</f>
      </c>
      <c r="AW194" s="136">
        <f>F194*AO194</f>
      </c>
      <c r="AX194" s="136">
        <f>F194*AP194</f>
      </c>
      <c r="AY194" s="139" t="s">
        <v>485</v>
      </c>
      <c r="AZ194" s="139" t="s">
        <v>395</v>
      </c>
      <c r="BA194" s="112" t="s">
        <v>119</v>
      </c>
      <c r="BC194" s="136">
        <f>AW194+AX194</f>
      </c>
      <c r="BD194" s="136">
        <f>G194/(100-BE194)*100</f>
      </c>
      <c r="BE194" s="136" t="n">
        <v>0</v>
      </c>
      <c r="BF194" s="136">
        <f>194</f>
      </c>
      <c r="BH194" s="136">
        <f>F194*AO194</f>
      </c>
      <c r="BI194" s="136">
        <f>F194*AP194</f>
      </c>
      <c r="BJ194" s="136">
        <f>F194*G194</f>
      </c>
      <c r="BK194" s="136"/>
      <c r="BL194" s="136"/>
      <c r="BW194" s="136" t="n">
        <v>21</v>
      </c>
      <c r="BX194" s="14" t="s">
        <v>489</v>
      </c>
    </row>
    <row r="195" customHeight="true" ht="13.5">
      <c r="A195" s="140"/>
      <c r="B195" s="141" t="s">
        <v>209</v>
      </c>
      <c r="C195" s="142" t="s">
        <v>490</v>
      </c>
      <c r="D195" s="143"/>
      <c r="E195" s="143"/>
      <c r="F195" s="143"/>
      <c r="G195" s="144"/>
      <c r="H195" s="143"/>
      <c r="I195" s="143"/>
      <c r="J195" s="143"/>
      <c r="K195" s="145"/>
    </row>
    <row r="196">
      <c r="A196" s="9" t="s">
        <v>491</v>
      </c>
      <c r="B196" s="10" t="s">
        <v>492</v>
      </c>
      <c r="C196" s="14" t="s">
        <v>493</v>
      </c>
      <c r="D196" s="10"/>
      <c r="E196" s="10" t="s">
        <v>115</v>
      </c>
      <c r="F196" s="136" t="n">
        <v>621</v>
      </c>
      <c r="G196" s="137" t="n">
        <v>0</v>
      </c>
      <c r="H196" s="136">
        <f>F196*AO196</f>
      </c>
      <c r="I196" s="136">
        <f>F196*AP196</f>
      </c>
      <c r="J196" s="136">
        <f>F196*G196</f>
      </c>
      <c r="K196" s="138" t="s">
        <v>116</v>
      </c>
      <c r="Z196" s="136">
        <f>IF(AQ196="5",BJ196,0)</f>
      </c>
      <c r="AB196" s="136">
        <f>IF(AQ196="1",BH196,0)</f>
      </c>
      <c r="AC196" s="136">
        <f>IF(AQ196="1",BI196,0)</f>
      </c>
      <c r="AD196" s="136">
        <f>IF(AQ196="7",BH196,0)</f>
      </c>
      <c r="AE196" s="136">
        <f>IF(AQ196="7",BI196,0)</f>
      </c>
      <c r="AF196" s="136">
        <f>IF(AQ196="2",BH196,0)</f>
      </c>
      <c r="AG196" s="136">
        <f>IF(AQ196="2",BI196,0)</f>
      </c>
      <c r="AH196" s="136">
        <f>IF(AQ196="0",BJ196,0)</f>
      </c>
      <c r="AI196" s="112" t="s">
        <v>10</v>
      </c>
      <c r="AJ196" s="136">
        <f>IF(AN196=0,J196,0)</f>
      </c>
      <c r="AK196" s="136">
        <f>IF(AN196=12,J196,0)</f>
      </c>
      <c r="AL196" s="136">
        <f>IF(AN196=21,J196,0)</f>
      </c>
      <c r="AN196" s="136" t="n">
        <v>21</v>
      </c>
      <c r="AO196" s="136">
        <f>G196*0</f>
      </c>
      <c r="AP196" s="136">
        <f>G196*(1-0)</f>
      </c>
      <c r="AQ196" s="139" t="s">
        <v>120</v>
      </c>
      <c r="AV196" s="136">
        <f>AW196+AX196</f>
      </c>
      <c r="AW196" s="136">
        <f>F196*AO196</f>
      </c>
      <c r="AX196" s="136">
        <f>F196*AP196</f>
      </c>
      <c r="AY196" s="139" t="s">
        <v>485</v>
      </c>
      <c r="AZ196" s="139" t="s">
        <v>395</v>
      </c>
      <c r="BA196" s="112" t="s">
        <v>119</v>
      </c>
      <c r="BC196" s="136">
        <f>AW196+AX196</f>
      </c>
      <c r="BD196" s="136">
        <f>G196/(100-BE196)*100</f>
      </c>
      <c r="BE196" s="136" t="n">
        <v>0</v>
      </c>
      <c r="BF196" s="136">
        <f>196</f>
      </c>
      <c r="BH196" s="136">
        <f>F196*AO196</f>
      </c>
      <c r="BI196" s="136">
        <f>F196*AP196</f>
      </c>
      <c r="BJ196" s="136">
        <f>F196*G196</f>
      </c>
      <c r="BK196" s="136"/>
      <c r="BL196" s="136"/>
      <c r="BW196" s="136" t="n">
        <v>21</v>
      </c>
      <c r="BX196" s="14" t="s">
        <v>493</v>
      </c>
    </row>
    <row r="197">
      <c r="A197" s="9" t="s">
        <v>494</v>
      </c>
      <c r="B197" s="10" t="s">
        <v>495</v>
      </c>
      <c r="C197" s="14" t="s">
        <v>496</v>
      </c>
      <c r="D197" s="10"/>
      <c r="E197" s="10" t="s">
        <v>115</v>
      </c>
      <c r="F197" s="136" t="n">
        <v>621</v>
      </c>
      <c r="G197" s="137" t="n">
        <v>0</v>
      </c>
      <c r="H197" s="136">
        <f>F197*AO197</f>
      </c>
      <c r="I197" s="136">
        <f>F197*AP197</f>
      </c>
      <c r="J197" s="136">
        <f>F197*G197</f>
      </c>
      <c r="K197" s="138" t="s">
        <v>116</v>
      </c>
      <c r="Z197" s="136">
        <f>IF(AQ197="5",BJ197,0)</f>
      </c>
      <c r="AB197" s="136">
        <f>IF(AQ197="1",BH197,0)</f>
      </c>
      <c r="AC197" s="136">
        <f>IF(AQ197="1",BI197,0)</f>
      </c>
      <c r="AD197" s="136">
        <f>IF(AQ197="7",BH197,0)</f>
      </c>
      <c r="AE197" s="136">
        <f>IF(AQ197="7",BI197,0)</f>
      </c>
      <c r="AF197" s="136">
        <f>IF(AQ197="2",BH197,0)</f>
      </c>
      <c r="AG197" s="136">
        <f>IF(AQ197="2",BI197,0)</f>
      </c>
      <c r="AH197" s="136">
        <f>IF(AQ197="0",BJ197,0)</f>
      </c>
      <c r="AI197" s="112" t="s">
        <v>10</v>
      </c>
      <c r="AJ197" s="136">
        <f>IF(AN197=0,J197,0)</f>
      </c>
      <c r="AK197" s="136">
        <f>IF(AN197=12,J197,0)</f>
      </c>
      <c r="AL197" s="136">
        <f>IF(AN197=21,J197,0)</f>
      </c>
      <c r="AN197" s="136" t="n">
        <v>21</v>
      </c>
      <c r="AO197" s="136">
        <f>G197*0.400168848</f>
      </c>
      <c r="AP197" s="136">
        <f>G197*(1-0.400168848)</f>
      </c>
      <c r="AQ197" s="139" t="s">
        <v>120</v>
      </c>
      <c r="AV197" s="136">
        <f>AW197+AX197</f>
      </c>
      <c r="AW197" s="136">
        <f>F197*AO197</f>
      </c>
      <c r="AX197" s="136">
        <f>F197*AP197</f>
      </c>
      <c r="AY197" s="139" t="s">
        <v>485</v>
      </c>
      <c r="AZ197" s="139" t="s">
        <v>395</v>
      </c>
      <c r="BA197" s="112" t="s">
        <v>119</v>
      </c>
      <c r="BC197" s="136">
        <f>AW197+AX197</f>
      </c>
      <c r="BD197" s="136">
        <f>G197/(100-BE197)*100</f>
      </c>
      <c r="BE197" s="136" t="n">
        <v>0</v>
      </c>
      <c r="BF197" s="136">
        <f>197</f>
      </c>
      <c r="BH197" s="136">
        <f>F197*AO197</f>
      </c>
      <c r="BI197" s="136">
        <f>F197*AP197</f>
      </c>
      <c r="BJ197" s="136">
        <f>F197*G197</f>
      </c>
      <c r="BK197" s="136"/>
      <c r="BL197" s="136"/>
      <c r="BW197" s="136" t="n">
        <v>21</v>
      </c>
      <c r="BX197" s="14" t="s">
        <v>496</v>
      </c>
    </row>
    <row r="198">
      <c r="A198" s="9" t="s">
        <v>497</v>
      </c>
      <c r="B198" s="10" t="s">
        <v>498</v>
      </c>
      <c r="C198" s="14" t="s">
        <v>499</v>
      </c>
      <c r="D198" s="10"/>
      <c r="E198" s="10" t="s">
        <v>200</v>
      </c>
      <c r="F198" s="136" t="n">
        <v>18</v>
      </c>
      <c r="G198" s="137" t="n">
        <v>0</v>
      </c>
      <c r="H198" s="136">
        <f>F198*AO198</f>
      </c>
      <c r="I198" s="136">
        <f>F198*AP198</f>
      </c>
      <c r="J198" s="136">
        <f>F198*G198</f>
      </c>
      <c r="K198" s="138" t="s">
        <v>116</v>
      </c>
      <c r="Z198" s="136">
        <f>IF(AQ198="5",BJ198,0)</f>
      </c>
      <c r="AB198" s="136">
        <f>IF(AQ198="1",BH198,0)</f>
      </c>
      <c r="AC198" s="136">
        <f>IF(AQ198="1",BI198,0)</f>
      </c>
      <c r="AD198" s="136">
        <f>IF(AQ198="7",BH198,0)</f>
      </c>
      <c r="AE198" s="136">
        <f>IF(AQ198="7",BI198,0)</f>
      </c>
      <c r="AF198" s="136">
        <f>IF(AQ198="2",BH198,0)</f>
      </c>
      <c r="AG198" s="136">
        <f>IF(AQ198="2",BI198,0)</f>
      </c>
      <c r="AH198" s="136">
        <f>IF(AQ198="0",BJ198,0)</f>
      </c>
      <c r="AI198" s="112" t="s">
        <v>10</v>
      </c>
      <c r="AJ198" s="136">
        <f>IF(AN198=0,J198,0)</f>
      </c>
      <c r="AK198" s="136">
        <f>IF(AN198=12,J198,0)</f>
      </c>
      <c r="AL198" s="136">
        <f>IF(AN198=21,J198,0)</f>
      </c>
      <c r="AN198" s="136" t="n">
        <v>21</v>
      </c>
      <c r="AO198" s="136">
        <f>G198*0</f>
      </c>
      <c r="AP198" s="136">
        <f>G198*(1-0)</f>
      </c>
      <c r="AQ198" s="139" t="s">
        <v>120</v>
      </c>
      <c r="AV198" s="136">
        <f>AW198+AX198</f>
      </c>
      <c r="AW198" s="136">
        <f>F198*AO198</f>
      </c>
      <c r="AX198" s="136">
        <f>F198*AP198</f>
      </c>
      <c r="AY198" s="139" t="s">
        <v>485</v>
      </c>
      <c r="AZ198" s="139" t="s">
        <v>395</v>
      </c>
      <c r="BA198" s="112" t="s">
        <v>119</v>
      </c>
      <c r="BC198" s="136">
        <f>AW198+AX198</f>
      </c>
      <c r="BD198" s="136">
        <f>G198/(100-BE198)*100</f>
      </c>
      <c r="BE198" s="136" t="n">
        <v>0</v>
      </c>
      <c r="BF198" s="136">
        <f>198</f>
      </c>
      <c r="BH198" s="136">
        <f>F198*AO198</f>
      </c>
      <c r="BI198" s="136">
        <f>F198*AP198</f>
      </c>
      <c r="BJ198" s="136">
        <f>F198*G198</f>
      </c>
      <c r="BK198" s="136"/>
      <c r="BL198" s="136"/>
      <c r="BW198" s="136" t="n">
        <v>21</v>
      </c>
      <c r="BX198" s="14" t="s">
        <v>499</v>
      </c>
    </row>
    <row r="199" customHeight="true" ht="13.5">
      <c r="A199" s="140"/>
      <c r="B199" s="141" t="s">
        <v>209</v>
      </c>
      <c r="C199" s="142" t="s">
        <v>500</v>
      </c>
      <c r="D199" s="143"/>
      <c r="E199" s="143"/>
      <c r="F199" s="143"/>
      <c r="G199" s="144"/>
      <c r="H199" s="143"/>
      <c r="I199" s="143"/>
      <c r="J199" s="143"/>
      <c r="K199" s="145"/>
    </row>
    <row r="200">
      <c r="A200" s="9" t="s">
        <v>501</v>
      </c>
      <c r="B200" s="10" t="s">
        <v>279</v>
      </c>
      <c r="C200" s="14" t="s">
        <v>280</v>
      </c>
      <c r="D200" s="10"/>
      <c r="E200" s="10" t="s">
        <v>175</v>
      </c>
      <c r="F200" s="136" t="n">
        <v>5.184</v>
      </c>
      <c r="G200" s="137" t="n">
        <v>0</v>
      </c>
      <c r="H200" s="136">
        <f>F200*AO200</f>
      </c>
      <c r="I200" s="136">
        <f>F200*AP200</f>
      </c>
      <c r="J200" s="136">
        <f>F200*G200</f>
      </c>
      <c r="K200" s="138" t="s">
        <v>116</v>
      </c>
      <c r="Z200" s="136">
        <f>IF(AQ200="5",BJ200,0)</f>
      </c>
      <c r="AB200" s="136">
        <f>IF(AQ200="1",BH200,0)</f>
      </c>
      <c r="AC200" s="136">
        <f>IF(AQ200="1",BI200,0)</f>
      </c>
      <c r="AD200" s="136">
        <f>IF(AQ200="7",BH200,0)</f>
      </c>
      <c r="AE200" s="136">
        <f>IF(AQ200="7",BI200,0)</f>
      </c>
      <c r="AF200" s="136">
        <f>IF(AQ200="2",BH200,0)</f>
      </c>
      <c r="AG200" s="136">
        <f>IF(AQ200="2",BI200,0)</f>
      </c>
      <c r="AH200" s="136">
        <f>IF(AQ200="0",BJ200,0)</f>
      </c>
      <c r="AI200" s="112" t="s">
        <v>10</v>
      </c>
      <c r="AJ200" s="136">
        <f>IF(AN200=0,J200,0)</f>
      </c>
      <c r="AK200" s="136">
        <f>IF(AN200=12,J200,0)</f>
      </c>
      <c r="AL200" s="136">
        <f>IF(AN200=21,J200,0)</f>
      </c>
      <c r="AN200" s="136" t="n">
        <v>21</v>
      </c>
      <c r="AO200" s="136">
        <f>G200*0.449679174</f>
      </c>
      <c r="AP200" s="136">
        <f>G200*(1-0.449679174)</f>
      </c>
      <c r="AQ200" s="139" t="s">
        <v>120</v>
      </c>
      <c r="AV200" s="136">
        <f>AW200+AX200</f>
      </c>
      <c r="AW200" s="136">
        <f>F200*AO200</f>
      </c>
      <c r="AX200" s="136">
        <f>F200*AP200</f>
      </c>
      <c r="AY200" s="139" t="s">
        <v>485</v>
      </c>
      <c r="AZ200" s="139" t="s">
        <v>395</v>
      </c>
      <c r="BA200" s="112" t="s">
        <v>119</v>
      </c>
      <c r="BC200" s="136">
        <f>AW200+AX200</f>
      </c>
      <c r="BD200" s="136">
        <f>G200/(100-BE200)*100</f>
      </c>
      <c r="BE200" s="136" t="n">
        <v>0</v>
      </c>
      <c r="BF200" s="136">
        <f>200</f>
      </c>
      <c r="BH200" s="136">
        <f>F200*AO200</f>
      </c>
      <c r="BI200" s="136">
        <f>F200*AP200</f>
      </c>
      <c r="BJ200" s="136">
        <f>F200*G200</f>
      </c>
      <c r="BK200" s="136"/>
      <c r="BL200" s="136"/>
      <c r="BW200" s="136" t="n">
        <v>21</v>
      </c>
      <c r="BX200" s="14" t="s">
        <v>280</v>
      </c>
    </row>
    <row r="201" customHeight="true" ht="13.5">
      <c r="A201" s="140"/>
      <c r="B201" s="141" t="s">
        <v>209</v>
      </c>
      <c r="C201" s="142" t="s">
        <v>281</v>
      </c>
      <c r="D201" s="143"/>
      <c r="E201" s="143"/>
      <c r="F201" s="143"/>
      <c r="G201" s="144"/>
      <c r="H201" s="143"/>
      <c r="I201" s="143"/>
      <c r="J201" s="143"/>
      <c r="K201" s="145"/>
    </row>
    <row r="202">
      <c r="A202" s="9" t="s">
        <v>502</v>
      </c>
      <c r="B202" s="10" t="s">
        <v>165</v>
      </c>
      <c r="C202" s="14" t="s">
        <v>166</v>
      </c>
      <c r="D202" s="10"/>
      <c r="E202" s="10" t="s">
        <v>129</v>
      </c>
      <c r="F202" s="136" t="n">
        <v>9.3312</v>
      </c>
      <c r="G202" s="137" t="n">
        <v>0</v>
      </c>
      <c r="H202" s="136">
        <f>F202*AO202</f>
      </c>
      <c r="I202" s="136">
        <f>F202*AP202</f>
      </c>
      <c r="J202" s="136">
        <f>F202*G202</f>
      </c>
      <c r="K202" s="138" t="s">
        <v>116</v>
      </c>
      <c r="Z202" s="136">
        <f>IF(AQ202="5",BJ202,0)</f>
      </c>
      <c r="AB202" s="136">
        <f>IF(AQ202="1",BH202,0)</f>
      </c>
      <c r="AC202" s="136">
        <f>IF(AQ202="1",BI202,0)</f>
      </c>
      <c r="AD202" s="136">
        <f>IF(AQ202="7",BH202,0)</f>
      </c>
      <c r="AE202" s="136">
        <f>IF(AQ202="7",BI202,0)</f>
      </c>
      <c r="AF202" s="136">
        <f>IF(AQ202="2",BH202,0)</f>
      </c>
      <c r="AG202" s="136">
        <f>IF(AQ202="2",BI202,0)</f>
      </c>
      <c r="AH202" s="136">
        <f>IF(AQ202="0",BJ202,0)</f>
      </c>
      <c r="AI202" s="112" t="s">
        <v>10</v>
      </c>
      <c r="AJ202" s="136">
        <f>IF(AN202=0,J202,0)</f>
      </c>
      <c r="AK202" s="136">
        <f>IF(AN202=12,J202,0)</f>
      </c>
      <c r="AL202" s="136">
        <f>IF(AN202=21,J202,0)</f>
      </c>
      <c r="AN202" s="136" t="n">
        <v>21</v>
      </c>
      <c r="AO202" s="136">
        <f>G202*0</f>
      </c>
      <c r="AP202" s="136">
        <f>G202*(1-0)</f>
      </c>
      <c r="AQ202" s="139" t="s">
        <v>112</v>
      </c>
      <c r="AV202" s="136">
        <f>AW202+AX202</f>
      </c>
      <c r="AW202" s="136">
        <f>F202*AO202</f>
      </c>
      <c r="AX202" s="136">
        <f>F202*AP202</f>
      </c>
      <c r="AY202" s="139" t="s">
        <v>485</v>
      </c>
      <c r="AZ202" s="139" t="s">
        <v>395</v>
      </c>
      <c r="BA202" s="112" t="s">
        <v>119</v>
      </c>
      <c r="BC202" s="136">
        <f>AW202+AX202</f>
      </c>
      <c r="BD202" s="136">
        <f>G202/(100-BE202)*100</f>
      </c>
      <c r="BE202" s="136" t="n">
        <v>0</v>
      </c>
      <c r="BF202" s="136">
        <f>202</f>
      </c>
      <c r="BH202" s="136">
        <f>F202*AO202</f>
      </c>
      <c r="BI202" s="136">
        <f>F202*AP202</f>
      </c>
      <c r="BJ202" s="136">
        <f>F202*G202</f>
      </c>
      <c r="BK202" s="136"/>
      <c r="BL202" s="136"/>
      <c r="BW202" s="136" t="n">
        <v>21</v>
      </c>
      <c r="BX202" s="14" t="s">
        <v>166</v>
      </c>
    </row>
    <row r="203">
      <c r="A203" s="9" t="s">
        <v>503</v>
      </c>
      <c r="B203" s="10" t="s">
        <v>168</v>
      </c>
      <c r="C203" s="14" t="s">
        <v>169</v>
      </c>
      <c r="D203" s="10"/>
      <c r="E203" s="10" t="s">
        <v>129</v>
      </c>
      <c r="F203" s="136" t="n">
        <v>9.3312</v>
      </c>
      <c r="G203" s="137" t="n">
        <v>0</v>
      </c>
      <c r="H203" s="136">
        <f>F203*AO203</f>
      </c>
      <c r="I203" s="136">
        <f>F203*AP203</f>
      </c>
      <c r="J203" s="136">
        <f>F203*G203</f>
      </c>
      <c r="K203" s="138" t="s">
        <v>116</v>
      </c>
      <c r="Z203" s="136">
        <f>IF(AQ203="5",BJ203,0)</f>
      </c>
      <c r="AB203" s="136">
        <f>IF(AQ203="1",BH203,0)</f>
      </c>
      <c r="AC203" s="136">
        <f>IF(AQ203="1",BI203,0)</f>
      </c>
      <c r="AD203" s="136">
        <f>IF(AQ203="7",BH203,0)</f>
      </c>
      <c r="AE203" s="136">
        <f>IF(AQ203="7",BI203,0)</f>
      </c>
      <c r="AF203" s="136">
        <f>IF(AQ203="2",BH203,0)</f>
      </c>
      <c r="AG203" s="136">
        <f>IF(AQ203="2",BI203,0)</f>
      </c>
      <c r="AH203" s="136">
        <f>IF(AQ203="0",BJ203,0)</f>
      </c>
      <c r="AI203" s="112" t="s">
        <v>10</v>
      </c>
      <c r="AJ203" s="136">
        <f>IF(AN203=0,J203,0)</f>
      </c>
      <c r="AK203" s="136">
        <f>IF(AN203=12,J203,0)</f>
      </c>
      <c r="AL203" s="136">
        <f>IF(AN203=21,J203,0)</f>
      </c>
      <c r="AN203" s="136" t="n">
        <v>21</v>
      </c>
      <c r="AO203" s="136">
        <f>G203*0.010895975</f>
      </c>
      <c r="AP203" s="136">
        <f>G203*(1-0.010895975)</f>
      </c>
      <c r="AQ203" s="139" t="s">
        <v>130</v>
      </c>
      <c r="AV203" s="136">
        <f>AW203+AX203</f>
      </c>
      <c r="AW203" s="136">
        <f>F203*AO203</f>
      </c>
      <c r="AX203" s="136">
        <f>F203*AP203</f>
      </c>
      <c r="AY203" s="139" t="s">
        <v>485</v>
      </c>
      <c r="AZ203" s="139" t="s">
        <v>395</v>
      </c>
      <c r="BA203" s="112" t="s">
        <v>119</v>
      </c>
      <c r="BC203" s="136">
        <f>AW203+AX203</f>
      </c>
      <c r="BD203" s="136">
        <f>G203/(100-BE203)*100</f>
      </c>
      <c r="BE203" s="136" t="n">
        <v>0</v>
      </c>
      <c r="BF203" s="136">
        <f>203</f>
      </c>
      <c r="BH203" s="136">
        <f>F203*AO203</f>
      </c>
      <c r="BI203" s="136">
        <f>F203*AP203</f>
      </c>
      <c r="BJ203" s="136">
        <f>F203*G203</f>
      </c>
      <c r="BK203" s="136"/>
      <c r="BL203" s="136"/>
      <c r="BW203" s="136" t="n">
        <v>21</v>
      </c>
      <c r="BX203" s="14" t="s">
        <v>169</v>
      </c>
    </row>
    <row r="204">
      <c r="A204" s="140"/>
      <c r="B204" s="141" t="s">
        <v>131</v>
      </c>
      <c r="C204" s="142" t="s">
        <v>170</v>
      </c>
      <c r="D204" s="143"/>
      <c r="E204" s="143"/>
      <c r="F204" s="143"/>
      <c r="G204" s="144"/>
      <c r="H204" s="143"/>
      <c r="I204" s="143"/>
      <c r="J204" s="143"/>
      <c r="K204" s="145"/>
      <c r="BX204" s="142" t="s">
        <v>170</v>
      </c>
    </row>
    <row r="205">
      <c r="A205" s="130" t="s">
        <v>10</v>
      </c>
      <c r="B205" s="131" t="s">
        <v>504</v>
      </c>
      <c r="C205" s="132" t="s">
        <v>505</v>
      </c>
      <c r="D205" s="131"/>
      <c r="E205" s="133" t="s">
        <v>74</v>
      </c>
      <c r="F205" s="133" t="s">
        <v>74</v>
      </c>
      <c r="G205" s="134" t="s">
        <v>74</v>
      </c>
      <c r="H205" s="94">
        <f>SUM(H206:H215)</f>
      </c>
      <c r="I205" s="94">
        <f>SUM(I206:I215)</f>
      </c>
      <c r="J205" s="94">
        <f>SUM(J206:J215)</f>
      </c>
      <c r="K205" s="135" t="s">
        <v>10</v>
      </c>
      <c r="AI205" s="112" t="s">
        <v>10</v>
      </c>
      <c r="AS205" s="94">
        <f>SUM(AJ206:AJ215)</f>
      </c>
      <c r="AT205" s="94">
        <f>SUM(AK206:AK215)</f>
      </c>
      <c r="AU205" s="94">
        <f>SUM(AL206:AL215)</f>
      </c>
    </row>
    <row r="206">
      <c r="A206" s="9" t="s">
        <v>506</v>
      </c>
      <c r="B206" s="10" t="s">
        <v>507</v>
      </c>
      <c r="C206" s="14" t="s">
        <v>508</v>
      </c>
      <c r="D206" s="10"/>
      <c r="E206" s="10" t="s">
        <v>200</v>
      </c>
      <c r="F206" s="136" t="n">
        <v>12</v>
      </c>
      <c r="G206" s="137" t="n">
        <v>0</v>
      </c>
      <c r="H206" s="136">
        <f>F206*AO206</f>
      </c>
      <c r="I206" s="136">
        <f>F206*AP206</f>
      </c>
      <c r="J206" s="136">
        <f>F206*G206</f>
      </c>
      <c r="K206" s="138" t="s">
        <v>116</v>
      </c>
      <c r="Z206" s="136">
        <f>IF(AQ206="5",BJ206,0)</f>
      </c>
      <c r="AB206" s="136">
        <f>IF(AQ206="1",BH206,0)</f>
      </c>
      <c r="AC206" s="136">
        <f>IF(AQ206="1",BI206,0)</f>
      </c>
      <c r="AD206" s="136">
        <f>IF(AQ206="7",BH206,0)</f>
      </c>
      <c r="AE206" s="136">
        <f>IF(AQ206="7",BI206,0)</f>
      </c>
      <c r="AF206" s="136">
        <f>IF(AQ206="2",BH206,0)</f>
      </c>
      <c r="AG206" s="136">
        <f>IF(AQ206="2",BI206,0)</f>
      </c>
      <c r="AH206" s="136">
        <f>IF(AQ206="0",BJ206,0)</f>
      </c>
      <c r="AI206" s="112" t="s">
        <v>10</v>
      </c>
      <c r="AJ206" s="136">
        <f>IF(AN206=0,J206,0)</f>
      </c>
      <c r="AK206" s="136">
        <f>IF(AN206=12,J206,0)</f>
      </c>
      <c r="AL206" s="136">
        <f>IF(AN206=21,J206,0)</f>
      </c>
      <c r="AN206" s="136" t="n">
        <v>21</v>
      </c>
      <c r="AO206" s="136">
        <f>G206*0</f>
      </c>
      <c r="AP206" s="136">
        <f>G206*(1-0)</f>
      </c>
      <c r="AQ206" s="139" t="s">
        <v>120</v>
      </c>
      <c r="AV206" s="136">
        <f>AW206+AX206</f>
      </c>
      <c r="AW206" s="136">
        <f>F206*AO206</f>
      </c>
      <c r="AX206" s="136">
        <f>F206*AP206</f>
      </c>
      <c r="AY206" s="139" t="s">
        <v>509</v>
      </c>
      <c r="AZ206" s="139" t="s">
        <v>395</v>
      </c>
      <c r="BA206" s="112" t="s">
        <v>119</v>
      </c>
      <c r="BC206" s="136">
        <f>AW206+AX206</f>
      </c>
      <c r="BD206" s="136">
        <f>G206/(100-BE206)*100</f>
      </c>
      <c r="BE206" s="136" t="n">
        <v>0</v>
      </c>
      <c r="BF206" s="136">
        <f>206</f>
      </c>
      <c r="BH206" s="136">
        <f>F206*AO206</f>
      </c>
      <c r="BI206" s="136">
        <f>F206*AP206</f>
      </c>
      <c r="BJ206" s="136">
        <f>F206*G206</f>
      </c>
      <c r="BK206" s="136"/>
      <c r="BL206" s="136"/>
      <c r="BW206" s="136" t="n">
        <v>21</v>
      </c>
      <c r="BX206" s="14" t="s">
        <v>508</v>
      </c>
    </row>
    <row r="207">
      <c r="A207" s="9" t="s">
        <v>510</v>
      </c>
      <c r="B207" s="10" t="s">
        <v>511</v>
      </c>
      <c r="C207" s="14" t="s">
        <v>512</v>
      </c>
      <c r="D207" s="10"/>
      <c r="E207" s="10" t="s">
        <v>200</v>
      </c>
      <c r="F207" s="136" t="n">
        <v>4</v>
      </c>
      <c r="G207" s="137" t="n">
        <v>0</v>
      </c>
      <c r="H207" s="136">
        <f>F207*AO207</f>
      </c>
      <c r="I207" s="136">
        <f>F207*AP207</f>
      </c>
      <c r="J207" s="136">
        <f>F207*G207</f>
      </c>
      <c r="K207" s="138" t="s">
        <v>116</v>
      </c>
      <c r="Z207" s="136">
        <f>IF(AQ207="5",BJ207,0)</f>
      </c>
      <c r="AB207" s="136">
        <f>IF(AQ207="1",BH207,0)</f>
      </c>
      <c r="AC207" s="136">
        <f>IF(AQ207="1",BI207,0)</f>
      </c>
      <c r="AD207" s="136">
        <f>IF(AQ207="7",BH207,0)</f>
      </c>
      <c r="AE207" s="136">
        <f>IF(AQ207="7",BI207,0)</f>
      </c>
      <c r="AF207" s="136">
        <f>IF(AQ207="2",BH207,0)</f>
      </c>
      <c r="AG207" s="136">
        <f>IF(AQ207="2",BI207,0)</f>
      </c>
      <c r="AH207" s="136">
        <f>IF(AQ207="0",BJ207,0)</f>
      </c>
      <c r="AI207" s="112" t="s">
        <v>10</v>
      </c>
      <c r="AJ207" s="136">
        <f>IF(AN207=0,J207,0)</f>
      </c>
      <c r="AK207" s="136">
        <f>IF(AN207=12,J207,0)</f>
      </c>
      <c r="AL207" s="136">
        <f>IF(AN207=21,J207,0)</f>
      </c>
      <c r="AN207" s="136" t="n">
        <v>21</v>
      </c>
      <c r="AO207" s="136">
        <f>G207*1</f>
      </c>
      <c r="AP207" s="136">
        <f>G207*(1-1)</f>
      </c>
      <c r="AQ207" s="139" t="s">
        <v>120</v>
      </c>
      <c r="AV207" s="136">
        <f>AW207+AX207</f>
      </c>
      <c r="AW207" s="136">
        <f>F207*AO207</f>
      </c>
      <c r="AX207" s="136">
        <f>F207*AP207</f>
      </c>
      <c r="AY207" s="139" t="s">
        <v>509</v>
      </c>
      <c r="AZ207" s="139" t="s">
        <v>395</v>
      </c>
      <c r="BA207" s="112" t="s">
        <v>119</v>
      </c>
      <c r="BC207" s="136">
        <f>AW207+AX207</f>
      </c>
      <c r="BD207" s="136">
        <f>G207/(100-BE207)*100</f>
      </c>
      <c r="BE207" s="136" t="n">
        <v>0</v>
      </c>
      <c r="BF207" s="136">
        <f>207</f>
      </c>
      <c r="BH207" s="136">
        <f>F207*AO207</f>
      </c>
      <c r="BI207" s="136">
        <f>F207*AP207</f>
      </c>
      <c r="BJ207" s="136">
        <f>F207*G207</f>
      </c>
      <c r="BK207" s="136"/>
      <c r="BL207" s="136"/>
      <c r="BW207" s="136" t="n">
        <v>21</v>
      </c>
      <c r="BX207" s="14" t="s">
        <v>512</v>
      </c>
    </row>
    <row r="208">
      <c r="A208" s="140"/>
      <c r="B208" s="141" t="s">
        <v>131</v>
      </c>
      <c r="C208" s="142" t="s">
        <v>513</v>
      </c>
      <c r="D208" s="143"/>
      <c r="E208" s="143"/>
      <c r="F208" s="143"/>
      <c r="G208" s="144"/>
      <c r="H208" s="143"/>
      <c r="I208" s="143"/>
      <c r="J208" s="143"/>
      <c r="K208" s="145"/>
      <c r="BX208" s="142" t="s">
        <v>513</v>
      </c>
    </row>
    <row r="209">
      <c r="A209" s="9" t="s">
        <v>514</v>
      </c>
      <c r="B209" s="10" t="s">
        <v>515</v>
      </c>
      <c r="C209" s="14" t="s">
        <v>516</v>
      </c>
      <c r="D209" s="10"/>
      <c r="E209" s="10" t="s">
        <v>200</v>
      </c>
      <c r="F209" s="136" t="n">
        <v>8</v>
      </c>
      <c r="G209" s="137" t="n">
        <v>0</v>
      </c>
      <c r="H209" s="136">
        <f>F209*AO209</f>
      </c>
      <c r="I209" s="136">
        <f>F209*AP209</f>
      </c>
      <c r="J209" s="136">
        <f>F209*G209</f>
      </c>
      <c r="K209" s="138" t="s">
        <v>116</v>
      </c>
      <c r="Z209" s="136">
        <f>IF(AQ209="5",BJ209,0)</f>
      </c>
      <c r="AB209" s="136">
        <f>IF(AQ209="1",BH209,0)</f>
      </c>
      <c r="AC209" s="136">
        <f>IF(AQ209="1",BI209,0)</f>
      </c>
      <c r="AD209" s="136">
        <f>IF(AQ209="7",BH209,0)</f>
      </c>
      <c r="AE209" s="136">
        <f>IF(AQ209="7",BI209,0)</f>
      </c>
      <c r="AF209" s="136">
        <f>IF(AQ209="2",BH209,0)</f>
      </c>
      <c r="AG209" s="136">
        <f>IF(AQ209="2",BI209,0)</f>
      </c>
      <c r="AH209" s="136">
        <f>IF(AQ209="0",BJ209,0)</f>
      </c>
      <c r="AI209" s="112" t="s">
        <v>10</v>
      </c>
      <c r="AJ209" s="136">
        <f>IF(AN209=0,J209,0)</f>
      </c>
      <c r="AK209" s="136">
        <f>IF(AN209=12,J209,0)</f>
      </c>
      <c r="AL209" s="136">
        <f>IF(AN209=21,J209,0)</f>
      </c>
      <c r="AN209" s="136" t="n">
        <v>21</v>
      </c>
      <c r="AO209" s="136">
        <f>G209*1</f>
      </c>
      <c r="AP209" s="136">
        <f>G209*(1-1)</f>
      </c>
      <c r="AQ209" s="139" t="s">
        <v>120</v>
      </c>
      <c r="AV209" s="136">
        <f>AW209+AX209</f>
      </c>
      <c r="AW209" s="136">
        <f>F209*AO209</f>
      </c>
      <c r="AX209" s="136">
        <f>F209*AP209</f>
      </c>
      <c r="AY209" s="139" t="s">
        <v>509</v>
      </c>
      <c r="AZ209" s="139" t="s">
        <v>395</v>
      </c>
      <c r="BA209" s="112" t="s">
        <v>119</v>
      </c>
      <c r="BC209" s="136">
        <f>AW209+AX209</f>
      </c>
      <c r="BD209" s="136">
        <f>G209/(100-BE209)*100</f>
      </c>
      <c r="BE209" s="136" t="n">
        <v>0</v>
      </c>
      <c r="BF209" s="136">
        <f>209</f>
      </c>
      <c r="BH209" s="136">
        <f>F209*AO209</f>
      </c>
      <c r="BI209" s="136">
        <f>F209*AP209</f>
      </c>
      <c r="BJ209" s="136">
        <f>F209*G209</f>
      </c>
      <c r="BK209" s="136"/>
      <c r="BL209" s="136"/>
      <c r="BW209" s="136" t="n">
        <v>21</v>
      </c>
      <c r="BX209" s="14" t="s">
        <v>516</v>
      </c>
    </row>
    <row r="210">
      <c r="A210" s="140"/>
      <c r="B210" s="141" t="s">
        <v>131</v>
      </c>
      <c r="C210" s="142" t="s">
        <v>513</v>
      </c>
      <c r="D210" s="143"/>
      <c r="E210" s="143"/>
      <c r="F210" s="143"/>
      <c r="G210" s="144"/>
      <c r="H210" s="143"/>
      <c r="I210" s="143"/>
      <c r="J210" s="143"/>
      <c r="K210" s="145"/>
      <c r="BX210" s="142" t="s">
        <v>513</v>
      </c>
    </row>
    <row r="211">
      <c r="A211" s="9" t="s">
        <v>517</v>
      </c>
      <c r="B211" s="10" t="s">
        <v>518</v>
      </c>
      <c r="C211" s="14" t="s">
        <v>519</v>
      </c>
      <c r="D211" s="10"/>
      <c r="E211" s="10" t="s">
        <v>115</v>
      </c>
      <c r="F211" s="136" t="n">
        <v>621</v>
      </c>
      <c r="G211" s="137" t="n">
        <v>0</v>
      </c>
      <c r="H211" s="136">
        <f>F211*AO211</f>
      </c>
      <c r="I211" s="136">
        <f>F211*AP211</f>
      </c>
      <c r="J211" s="136">
        <f>F211*G211</f>
      </c>
      <c r="K211" s="138" t="s">
        <v>116</v>
      </c>
      <c r="Z211" s="136">
        <f>IF(AQ211="5",BJ211,0)</f>
      </c>
      <c r="AB211" s="136">
        <f>IF(AQ211="1",BH211,0)</f>
      </c>
      <c r="AC211" s="136">
        <f>IF(AQ211="1",BI211,0)</f>
      </c>
      <c r="AD211" s="136">
        <f>IF(AQ211="7",BH211,0)</f>
      </c>
      <c r="AE211" s="136">
        <f>IF(AQ211="7",BI211,0)</f>
      </c>
      <c r="AF211" s="136">
        <f>IF(AQ211="2",BH211,0)</f>
      </c>
      <c r="AG211" s="136">
        <f>IF(AQ211="2",BI211,0)</f>
      </c>
      <c r="AH211" s="136">
        <f>IF(AQ211="0",BJ211,0)</f>
      </c>
      <c r="AI211" s="112" t="s">
        <v>10</v>
      </c>
      <c r="AJ211" s="136">
        <f>IF(AN211=0,J211,0)</f>
      </c>
      <c r="AK211" s="136">
        <f>IF(AN211=12,J211,0)</f>
      </c>
      <c r="AL211" s="136">
        <f>IF(AN211=21,J211,0)</f>
      </c>
      <c r="AN211" s="136" t="n">
        <v>21</v>
      </c>
      <c r="AO211" s="136">
        <f>G211*0.63539749</f>
      </c>
      <c r="AP211" s="136">
        <f>G211*(1-0.63539749)</f>
      </c>
      <c r="AQ211" s="139" t="s">
        <v>120</v>
      </c>
      <c r="AV211" s="136">
        <f>AW211+AX211</f>
      </c>
      <c r="AW211" s="136">
        <f>F211*AO211</f>
      </c>
      <c r="AX211" s="136">
        <f>F211*AP211</f>
      </c>
      <c r="AY211" s="139" t="s">
        <v>509</v>
      </c>
      <c r="AZ211" s="139" t="s">
        <v>395</v>
      </c>
      <c r="BA211" s="112" t="s">
        <v>119</v>
      </c>
      <c r="BC211" s="136">
        <f>AW211+AX211</f>
      </c>
      <c r="BD211" s="136">
        <f>G211/(100-BE211)*100</f>
      </c>
      <c r="BE211" s="136" t="n">
        <v>0</v>
      </c>
      <c r="BF211" s="136">
        <f>211</f>
      </c>
      <c r="BH211" s="136">
        <f>F211*AO211</f>
      </c>
      <c r="BI211" s="136">
        <f>F211*AP211</f>
      </c>
      <c r="BJ211" s="136">
        <f>F211*G211</f>
      </c>
      <c r="BK211" s="136"/>
      <c r="BL211" s="136"/>
      <c r="BW211" s="136" t="n">
        <v>21</v>
      </c>
      <c r="BX211" s="14" t="s">
        <v>519</v>
      </c>
    </row>
    <row r="212" customHeight="true" ht="13.5">
      <c r="A212" s="140"/>
      <c r="B212" s="141" t="s">
        <v>209</v>
      </c>
      <c r="C212" s="142" t="s">
        <v>520</v>
      </c>
      <c r="D212" s="143"/>
      <c r="E212" s="143"/>
      <c r="F212" s="143"/>
      <c r="G212" s="144"/>
      <c r="H212" s="143"/>
      <c r="I212" s="143"/>
      <c r="J212" s="143"/>
      <c r="K212" s="145"/>
    </row>
    <row r="213">
      <c r="A213" s="9" t="s">
        <v>521</v>
      </c>
      <c r="B213" s="10" t="s">
        <v>522</v>
      </c>
      <c r="C213" s="14" t="s">
        <v>523</v>
      </c>
      <c r="D213" s="10"/>
      <c r="E213" s="10" t="s">
        <v>115</v>
      </c>
      <c r="F213" s="136" t="n">
        <v>581</v>
      </c>
      <c r="G213" s="137" t="n">
        <v>0</v>
      </c>
      <c r="H213" s="136">
        <f>F213*AO213</f>
      </c>
      <c r="I213" s="136">
        <f>F213*AP213</f>
      </c>
      <c r="J213" s="136">
        <f>F213*G213</f>
      </c>
      <c r="K213" s="138" t="s">
        <v>116</v>
      </c>
      <c r="Z213" s="136">
        <f>IF(AQ213="5",BJ213,0)</f>
      </c>
      <c r="AB213" s="136">
        <f>IF(AQ213="1",BH213,0)</f>
      </c>
      <c r="AC213" s="136">
        <f>IF(AQ213="1",BI213,0)</f>
      </c>
      <c r="AD213" s="136">
        <f>IF(AQ213="7",BH213,0)</f>
      </c>
      <c r="AE213" s="136">
        <f>IF(AQ213="7",BI213,0)</f>
      </c>
      <c r="AF213" s="136">
        <f>IF(AQ213="2",BH213,0)</f>
      </c>
      <c r="AG213" s="136">
        <f>IF(AQ213="2",BI213,0)</f>
      </c>
      <c r="AH213" s="136">
        <f>IF(AQ213="0",BJ213,0)</f>
      </c>
      <c r="AI213" s="112" t="s">
        <v>10</v>
      </c>
      <c r="AJ213" s="136">
        <f>IF(AN213=0,J213,0)</f>
      </c>
      <c r="AK213" s="136">
        <f>IF(AN213=12,J213,0)</f>
      </c>
      <c r="AL213" s="136">
        <f>IF(AN213=21,J213,0)</f>
      </c>
      <c r="AN213" s="136" t="n">
        <v>21</v>
      </c>
      <c r="AO213" s="136">
        <f>G213*0.81410409</f>
      </c>
      <c r="AP213" s="136">
        <f>G213*(1-0.81410409)</f>
      </c>
      <c r="AQ213" s="139" t="s">
        <v>120</v>
      </c>
      <c r="AV213" s="136">
        <f>AW213+AX213</f>
      </c>
      <c r="AW213" s="136">
        <f>F213*AO213</f>
      </c>
      <c r="AX213" s="136">
        <f>F213*AP213</f>
      </c>
      <c r="AY213" s="139" t="s">
        <v>509</v>
      </c>
      <c r="AZ213" s="139" t="s">
        <v>395</v>
      </c>
      <c r="BA213" s="112" t="s">
        <v>119</v>
      </c>
      <c r="BC213" s="136">
        <f>AW213+AX213</f>
      </c>
      <c r="BD213" s="136">
        <f>G213/(100-BE213)*100</f>
      </c>
      <c r="BE213" s="136" t="n">
        <v>0</v>
      </c>
      <c r="BF213" s="136">
        <f>213</f>
      </c>
      <c r="BH213" s="136">
        <f>F213*AO213</f>
      </c>
      <c r="BI213" s="136">
        <f>F213*AP213</f>
      </c>
      <c r="BJ213" s="136">
        <f>F213*G213</f>
      </c>
      <c r="BK213" s="136"/>
      <c r="BL213" s="136"/>
      <c r="BW213" s="136" t="n">
        <v>21</v>
      </c>
      <c r="BX213" s="14" t="s">
        <v>523</v>
      </c>
    </row>
    <row r="214" customHeight="true" ht="13.5">
      <c r="A214" s="140"/>
      <c r="B214" s="141" t="s">
        <v>209</v>
      </c>
      <c r="C214" s="142" t="s">
        <v>524</v>
      </c>
      <c r="D214" s="143"/>
      <c r="E214" s="143"/>
      <c r="F214" s="143"/>
      <c r="G214" s="144"/>
      <c r="H214" s="143"/>
      <c r="I214" s="143"/>
      <c r="J214" s="143"/>
      <c r="K214" s="145"/>
    </row>
    <row r="215">
      <c r="A215" s="9" t="s">
        <v>525</v>
      </c>
      <c r="B215" s="10" t="s">
        <v>526</v>
      </c>
      <c r="C215" s="14" t="s">
        <v>527</v>
      </c>
      <c r="D215" s="10"/>
      <c r="E215" s="10" t="s">
        <v>115</v>
      </c>
      <c r="F215" s="136" t="n">
        <v>621</v>
      </c>
      <c r="G215" s="137" t="n">
        <v>0</v>
      </c>
      <c r="H215" s="136">
        <f>F215*AO215</f>
      </c>
      <c r="I215" s="136">
        <f>F215*AP215</f>
      </c>
      <c r="J215" s="136">
        <f>F215*G215</f>
      </c>
      <c r="K215" s="138" t="s">
        <v>116</v>
      </c>
      <c r="Z215" s="136">
        <f>IF(AQ215="5",BJ215,0)</f>
      </c>
      <c r="AB215" s="136">
        <f>IF(AQ215="1",BH215,0)</f>
      </c>
      <c r="AC215" s="136">
        <f>IF(AQ215="1",BI215,0)</f>
      </c>
      <c r="AD215" s="136">
        <f>IF(AQ215="7",BH215,0)</f>
      </c>
      <c r="AE215" s="136">
        <f>IF(AQ215="7",BI215,0)</f>
      </c>
      <c r="AF215" s="136">
        <f>IF(AQ215="2",BH215,0)</f>
      </c>
      <c r="AG215" s="136">
        <f>IF(AQ215="2",BI215,0)</f>
      </c>
      <c r="AH215" s="136">
        <f>IF(AQ215="0",BJ215,0)</f>
      </c>
      <c r="AI215" s="112" t="s">
        <v>10</v>
      </c>
      <c r="AJ215" s="136">
        <f>IF(AN215=0,J215,0)</f>
      </c>
      <c r="AK215" s="136">
        <f>IF(AN215=12,J215,0)</f>
      </c>
      <c r="AL215" s="136">
        <f>IF(AN215=21,J215,0)</f>
      </c>
      <c r="AN215" s="136" t="n">
        <v>21</v>
      </c>
      <c r="AO215" s="136">
        <f>G215*0.36768254</f>
      </c>
      <c r="AP215" s="136">
        <f>G215*(1-0.36768254)</f>
      </c>
      <c r="AQ215" s="139" t="s">
        <v>120</v>
      </c>
      <c r="AV215" s="136">
        <f>AW215+AX215</f>
      </c>
      <c r="AW215" s="136">
        <f>F215*AO215</f>
      </c>
      <c r="AX215" s="136">
        <f>F215*AP215</f>
      </c>
      <c r="AY215" s="139" t="s">
        <v>509</v>
      </c>
      <c r="AZ215" s="139" t="s">
        <v>395</v>
      </c>
      <c r="BA215" s="112" t="s">
        <v>119</v>
      </c>
      <c r="BC215" s="136">
        <f>AW215+AX215</f>
      </c>
      <c r="BD215" s="136">
        <f>G215/(100-BE215)*100</f>
      </c>
      <c r="BE215" s="136" t="n">
        <v>0</v>
      </c>
      <c r="BF215" s="136">
        <f>215</f>
      </c>
      <c r="BH215" s="136">
        <f>F215*AO215</f>
      </c>
      <c r="BI215" s="136">
        <f>F215*AP215</f>
      </c>
      <c r="BJ215" s="136">
        <f>F215*G215</f>
      </c>
      <c r="BK215" s="136"/>
      <c r="BL215" s="136"/>
      <c r="BW215" s="136" t="n">
        <v>21</v>
      </c>
      <c r="BX215" s="14" t="s">
        <v>527</v>
      </c>
    </row>
    <row r="216" customHeight="true" ht="13.5">
      <c r="A216" s="140"/>
      <c r="B216" s="141" t="s">
        <v>209</v>
      </c>
      <c r="C216" s="142" t="s">
        <v>528</v>
      </c>
      <c r="D216" s="143"/>
      <c r="E216" s="143"/>
      <c r="F216" s="143"/>
      <c r="G216" s="144"/>
      <c r="H216" s="143"/>
      <c r="I216" s="143"/>
      <c r="J216" s="143"/>
      <c r="K216" s="145"/>
    </row>
    <row r="217">
      <c r="A217" s="130" t="s">
        <v>10</v>
      </c>
      <c r="B217" s="131" t="s">
        <v>529</v>
      </c>
      <c r="C217" s="132" t="s">
        <v>530</v>
      </c>
      <c r="D217" s="131"/>
      <c r="E217" s="133" t="s">
        <v>74</v>
      </c>
      <c r="F217" s="133" t="s">
        <v>74</v>
      </c>
      <c r="G217" s="134" t="s">
        <v>74</v>
      </c>
      <c r="H217" s="94">
        <f>SUM(H218:H230)</f>
      </c>
      <c r="I217" s="94">
        <f>SUM(I218:I230)</f>
      </c>
      <c r="J217" s="94">
        <f>SUM(J218:J230)</f>
      </c>
      <c r="K217" s="135" t="s">
        <v>10</v>
      </c>
      <c r="AI217" s="112" t="s">
        <v>10</v>
      </c>
      <c r="AS217" s="94">
        <f>SUM(AJ218:AJ230)</f>
      </c>
      <c r="AT217" s="94">
        <f>SUM(AK218:AK230)</f>
      </c>
      <c r="AU217" s="94">
        <f>SUM(AL218:AL230)</f>
      </c>
    </row>
    <row r="218">
      <c r="A218" s="9" t="s">
        <v>531</v>
      </c>
      <c r="B218" s="10" t="s">
        <v>532</v>
      </c>
      <c r="C218" s="14" t="s">
        <v>533</v>
      </c>
      <c r="D218" s="10"/>
      <c r="E218" s="10" t="s">
        <v>534</v>
      </c>
      <c r="F218" s="136" t="n">
        <v>1</v>
      </c>
      <c r="G218" s="137" t="n">
        <v>0</v>
      </c>
      <c r="H218" s="136">
        <f>F218*AO218</f>
      </c>
      <c r="I218" s="136">
        <f>F218*AP218</f>
      </c>
      <c r="J218" s="136">
        <f>F218*G218</f>
      </c>
      <c r="K218" s="138" t="s">
        <v>10</v>
      </c>
      <c r="Z218" s="136">
        <f>IF(AQ218="5",BJ218,0)</f>
      </c>
      <c r="AB218" s="136">
        <f>IF(AQ218="1",BH218,0)</f>
      </c>
      <c r="AC218" s="136">
        <f>IF(AQ218="1",BI218,0)</f>
      </c>
      <c r="AD218" s="136">
        <f>IF(AQ218="7",BH218,0)</f>
      </c>
      <c r="AE218" s="136">
        <f>IF(AQ218="7",BI218,0)</f>
      </c>
      <c r="AF218" s="136">
        <f>IF(AQ218="2",BH218,0)</f>
      </c>
      <c r="AG218" s="136">
        <f>IF(AQ218="2",BI218,0)</f>
      </c>
      <c r="AH218" s="136">
        <f>IF(AQ218="0",BJ218,0)</f>
      </c>
      <c r="AI218" s="112" t="s">
        <v>10</v>
      </c>
      <c r="AJ218" s="136">
        <f>IF(AN218=0,J218,0)</f>
      </c>
      <c r="AK218" s="136">
        <f>IF(AN218=12,J218,0)</f>
      </c>
      <c r="AL218" s="136">
        <f>IF(AN218=21,J218,0)</f>
      </c>
      <c r="AN218" s="136" t="n">
        <v>21</v>
      </c>
      <c r="AO218" s="136">
        <f>G218*0</f>
      </c>
      <c r="AP218" s="136">
        <f>G218*(1-0)</f>
      </c>
      <c r="AQ218" s="139" t="s">
        <v>112</v>
      </c>
      <c r="AV218" s="136">
        <f>AW218+AX218</f>
      </c>
      <c r="AW218" s="136">
        <f>F218*AO218</f>
      </c>
      <c r="AX218" s="136">
        <f>F218*AP218</f>
      </c>
      <c r="AY218" s="139" t="s">
        <v>535</v>
      </c>
      <c r="AZ218" s="139" t="s">
        <v>395</v>
      </c>
      <c r="BA218" s="112" t="s">
        <v>119</v>
      </c>
      <c r="BC218" s="136">
        <f>AW218+AX218</f>
      </c>
      <c r="BD218" s="136">
        <f>G218/(100-BE218)*100</f>
      </c>
      <c r="BE218" s="136" t="n">
        <v>0</v>
      </c>
      <c r="BF218" s="136">
        <f>218</f>
      </c>
      <c r="BH218" s="136">
        <f>F218*AO218</f>
      </c>
      <c r="BI218" s="136">
        <f>F218*AP218</f>
      </c>
      <c r="BJ218" s="136">
        <f>F218*G218</f>
      </c>
      <c r="BK218" s="136"/>
      <c r="BL218" s="136"/>
      <c r="BW218" s="136" t="n">
        <v>21</v>
      </c>
      <c r="BX218" s="14" t="s">
        <v>533</v>
      </c>
    </row>
    <row r="219">
      <c r="A219" s="9" t="s">
        <v>536</v>
      </c>
      <c r="B219" s="10" t="s">
        <v>537</v>
      </c>
      <c r="C219" s="14" t="s">
        <v>538</v>
      </c>
      <c r="D219" s="10"/>
      <c r="E219" s="10" t="s">
        <v>534</v>
      </c>
      <c r="F219" s="136" t="n">
        <v>1</v>
      </c>
      <c r="G219" s="137" t="n">
        <v>0</v>
      </c>
      <c r="H219" s="136">
        <f>F219*AO219</f>
      </c>
      <c r="I219" s="136">
        <f>F219*AP219</f>
      </c>
      <c r="J219" s="136">
        <f>F219*G219</f>
      </c>
      <c r="K219" s="138" t="s">
        <v>10</v>
      </c>
      <c r="Z219" s="136">
        <f>IF(AQ219="5",BJ219,0)</f>
      </c>
      <c r="AB219" s="136">
        <f>IF(AQ219="1",BH219,0)</f>
      </c>
      <c r="AC219" s="136">
        <f>IF(AQ219="1",BI219,0)</f>
      </c>
      <c r="AD219" s="136">
        <f>IF(AQ219="7",BH219,0)</f>
      </c>
      <c r="AE219" s="136">
        <f>IF(AQ219="7",BI219,0)</f>
      </c>
      <c r="AF219" s="136">
        <f>IF(AQ219="2",BH219,0)</f>
      </c>
      <c r="AG219" s="136">
        <f>IF(AQ219="2",BI219,0)</f>
      </c>
      <c r="AH219" s="136">
        <f>IF(AQ219="0",BJ219,0)</f>
      </c>
      <c r="AI219" s="112" t="s">
        <v>10</v>
      </c>
      <c r="AJ219" s="136">
        <f>IF(AN219=0,J219,0)</f>
      </c>
      <c r="AK219" s="136">
        <f>IF(AN219=12,J219,0)</f>
      </c>
      <c r="AL219" s="136">
        <f>IF(AN219=21,J219,0)</f>
      </c>
      <c r="AN219" s="136" t="n">
        <v>21</v>
      </c>
      <c r="AO219" s="136">
        <f>G219*0</f>
      </c>
      <c r="AP219" s="136">
        <f>G219*(1-0)</f>
      </c>
      <c r="AQ219" s="139" t="s">
        <v>112</v>
      </c>
      <c r="AV219" s="136">
        <f>AW219+AX219</f>
      </c>
      <c r="AW219" s="136">
        <f>F219*AO219</f>
      </c>
      <c r="AX219" s="136">
        <f>F219*AP219</f>
      </c>
      <c r="AY219" s="139" t="s">
        <v>535</v>
      </c>
      <c r="AZ219" s="139" t="s">
        <v>395</v>
      </c>
      <c r="BA219" s="112" t="s">
        <v>119</v>
      </c>
      <c r="BC219" s="136">
        <f>AW219+AX219</f>
      </c>
      <c r="BD219" s="136">
        <f>G219/(100-BE219)*100</f>
      </c>
      <c r="BE219" s="136" t="n">
        <v>0</v>
      </c>
      <c r="BF219" s="136">
        <f>219</f>
      </c>
      <c r="BH219" s="136">
        <f>F219*AO219</f>
      </c>
      <c r="BI219" s="136">
        <f>F219*AP219</f>
      </c>
      <c r="BJ219" s="136">
        <f>F219*G219</f>
      </c>
      <c r="BK219" s="136"/>
      <c r="BL219" s="136"/>
      <c r="BW219" s="136" t="n">
        <v>21</v>
      </c>
      <c r="BX219" s="14" t="s">
        <v>538</v>
      </c>
    </row>
    <row r="220">
      <c r="A220" s="9" t="s">
        <v>539</v>
      </c>
      <c r="B220" s="10" t="s">
        <v>540</v>
      </c>
      <c r="C220" s="14" t="s">
        <v>541</v>
      </c>
      <c r="D220" s="10"/>
      <c r="E220" s="10" t="s">
        <v>534</v>
      </c>
      <c r="F220" s="136" t="n">
        <v>3</v>
      </c>
      <c r="G220" s="137" t="n">
        <v>0</v>
      </c>
      <c r="H220" s="136">
        <f>F220*AO220</f>
      </c>
      <c r="I220" s="136">
        <f>F220*AP220</f>
      </c>
      <c r="J220" s="136">
        <f>F220*G220</f>
      </c>
      <c r="K220" s="138" t="s">
        <v>10</v>
      </c>
      <c r="Z220" s="136">
        <f>IF(AQ220="5",BJ220,0)</f>
      </c>
      <c r="AB220" s="136">
        <f>IF(AQ220="1",BH220,0)</f>
      </c>
      <c r="AC220" s="136">
        <f>IF(AQ220="1",BI220,0)</f>
      </c>
      <c r="AD220" s="136">
        <f>IF(AQ220="7",BH220,0)</f>
      </c>
      <c r="AE220" s="136">
        <f>IF(AQ220="7",BI220,0)</f>
      </c>
      <c r="AF220" s="136">
        <f>IF(AQ220="2",BH220,0)</f>
      </c>
      <c r="AG220" s="136">
        <f>IF(AQ220="2",BI220,0)</f>
      </c>
      <c r="AH220" s="136">
        <f>IF(AQ220="0",BJ220,0)</f>
      </c>
      <c r="AI220" s="112" t="s">
        <v>10</v>
      </c>
      <c r="AJ220" s="136">
        <f>IF(AN220=0,J220,0)</f>
      </c>
      <c r="AK220" s="136">
        <f>IF(AN220=12,J220,0)</f>
      </c>
      <c r="AL220" s="136">
        <f>IF(AN220=21,J220,0)</f>
      </c>
      <c r="AN220" s="136" t="n">
        <v>21</v>
      </c>
      <c r="AO220" s="136">
        <f>G220*0</f>
      </c>
      <c r="AP220" s="136">
        <f>G220*(1-0)</f>
      </c>
      <c r="AQ220" s="139" t="s">
        <v>112</v>
      </c>
      <c r="AV220" s="136">
        <f>AW220+AX220</f>
      </c>
      <c r="AW220" s="136">
        <f>F220*AO220</f>
      </c>
      <c r="AX220" s="136">
        <f>F220*AP220</f>
      </c>
      <c r="AY220" s="139" t="s">
        <v>535</v>
      </c>
      <c r="AZ220" s="139" t="s">
        <v>395</v>
      </c>
      <c r="BA220" s="112" t="s">
        <v>119</v>
      </c>
      <c r="BC220" s="136">
        <f>AW220+AX220</f>
      </c>
      <c r="BD220" s="136">
        <f>G220/(100-BE220)*100</f>
      </c>
      <c r="BE220" s="136" t="n">
        <v>0</v>
      </c>
      <c r="BF220" s="136">
        <f>220</f>
      </c>
      <c r="BH220" s="136">
        <f>F220*AO220</f>
      </c>
      <c r="BI220" s="136">
        <f>F220*AP220</f>
      </c>
      <c r="BJ220" s="136">
        <f>F220*G220</f>
      </c>
      <c r="BK220" s="136"/>
      <c r="BL220" s="136"/>
      <c r="BW220" s="136" t="n">
        <v>21</v>
      </c>
      <c r="BX220" s="14" t="s">
        <v>541</v>
      </c>
    </row>
    <row r="221">
      <c r="A221" s="9" t="s">
        <v>542</v>
      </c>
      <c r="B221" s="10" t="s">
        <v>543</v>
      </c>
      <c r="C221" s="14" t="s">
        <v>544</v>
      </c>
      <c r="D221" s="10"/>
      <c r="E221" s="10" t="s">
        <v>534</v>
      </c>
      <c r="F221" s="136" t="n">
        <v>1</v>
      </c>
      <c r="G221" s="137" t="n">
        <v>0</v>
      </c>
      <c r="H221" s="136">
        <f>F221*AO221</f>
      </c>
      <c r="I221" s="136">
        <f>F221*AP221</f>
      </c>
      <c r="J221" s="136">
        <f>F221*G221</f>
      </c>
      <c r="K221" s="138" t="s">
        <v>10</v>
      </c>
      <c r="Z221" s="136">
        <f>IF(AQ221="5",BJ221,0)</f>
      </c>
      <c r="AB221" s="136">
        <f>IF(AQ221="1",BH221,0)</f>
      </c>
      <c r="AC221" s="136">
        <f>IF(AQ221="1",BI221,0)</f>
      </c>
      <c r="AD221" s="136">
        <f>IF(AQ221="7",BH221,0)</f>
      </c>
      <c r="AE221" s="136">
        <f>IF(AQ221="7",BI221,0)</f>
      </c>
      <c r="AF221" s="136">
        <f>IF(AQ221="2",BH221,0)</f>
      </c>
      <c r="AG221" s="136">
        <f>IF(AQ221="2",BI221,0)</f>
      </c>
      <c r="AH221" s="136">
        <f>IF(AQ221="0",BJ221,0)</f>
      </c>
      <c r="AI221" s="112" t="s">
        <v>10</v>
      </c>
      <c r="AJ221" s="136">
        <f>IF(AN221=0,J221,0)</f>
      </c>
      <c r="AK221" s="136">
        <f>IF(AN221=12,J221,0)</f>
      </c>
      <c r="AL221" s="136">
        <f>IF(AN221=21,J221,0)</f>
      </c>
      <c r="AN221" s="136" t="n">
        <v>21</v>
      </c>
      <c r="AO221" s="136">
        <f>G221*0</f>
      </c>
      <c r="AP221" s="136">
        <f>G221*(1-0)</f>
      </c>
      <c r="AQ221" s="139" t="s">
        <v>112</v>
      </c>
      <c r="AV221" s="136">
        <f>AW221+AX221</f>
      </c>
      <c r="AW221" s="136">
        <f>F221*AO221</f>
      </c>
      <c r="AX221" s="136">
        <f>F221*AP221</f>
      </c>
      <c r="AY221" s="139" t="s">
        <v>535</v>
      </c>
      <c r="AZ221" s="139" t="s">
        <v>395</v>
      </c>
      <c r="BA221" s="112" t="s">
        <v>119</v>
      </c>
      <c r="BC221" s="136">
        <f>AW221+AX221</f>
      </c>
      <c r="BD221" s="136">
        <f>G221/(100-BE221)*100</f>
      </c>
      <c r="BE221" s="136" t="n">
        <v>0</v>
      </c>
      <c r="BF221" s="136">
        <f>221</f>
      </c>
      <c r="BH221" s="136">
        <f>F221*AO221</f>
      </c>
      <c r="BI221" s="136">
        <f>F221*AP221</f>
      </c>
      <c r="BJ221" s="136">
        <f>F221*G221</f>
      </c>
      <c r="BK221" s="136"/>
      <c r="BL221" s="136"/>
      <c r="BW221" s="136" t="n">
        <v>21</v>
      </c>
      <c r="BX221" s="14" t="s">
        <v>544</v>
      </c>
    </row>
    <row r="222">
      <c r="A222" s="9" t="s">
        <v>545</v>
      </c>
      <c r="B222" s="10" t="s">
        <v>546</v>
      </c>
      <c r="C222" s="14" t="s">
        <v>547</v>
      </c>
      <c r="D222" s="10"/>
      <c r="E222" s="10" t="s">
        <v>534</v>
      </c>
      <c r="F222" s="136" t="n">
        <v>3</v>
      </c>
      <c r="G222" s="137" t="n">
        <v>0</v>
      </c>
      <c r="H222" s="136">
        <f>F222*AO222</f>
      </c>
      <c r="I222" s="136">
        <f>F222*AP222</f>
      </c>
      <c r="J222" s="136">
        <f>F222*G222</f>
      </c>
      <c r="K222" s="138" t="s">
        <v>10</v>
      </c>
      <c r="Z222" s="136">
        <f>IF(AQ222="5",BJ222,0)</f>
      </c>
      <c r="AB222" s="136">
        <f>IF(AQ222="1",BH222,0)</f>
      </c>
      <c r="AC222" s="136">
        <f>IF(AQ222="1",BI222,0)</f>
      </c>
      <c r="AD222" s="136">
        <f>IF(AQ222="7",BH222,0)</f>
      </c>
      <c r="AE222" s="136">
        <f>IF(AQ222="7",BI222,0)</f>
      </c>
      <c r="AF222" s="136">
        <f>IF(AQ222="2",BH222,0)</f>
      </c>
      <c r="AG222" s="136">
        <f>IF(AQ222="2",BI222,0)</f>
      </c>
      <c r="AH222" s="136">
        <f>IF(AQ222="0",BJ222,0)</f>
      </c>
      <c r="AI222" s="112" t="s">
        <v>10</v>
      </c>
      <c r="AJ222" s="136">
        <f>IF(AN222=0,J222,0)</f>
      </c>
      <c r="AK222" s="136">
        <f>IF(AN222=12,J222,0)</f>
      </c>
      <c r="AL222" s="136">
        <f>IF(AN222=21,J222,0)</f>
      </c>
      <c r="AN222" s="136" t="n">
        <v>21</v>
      </c>
      <c r="AO222" s="136">
        <f>G222*0</f>
      </c>
      <c r="AP222" s="136">
        <f>G222*(1-0)</f>
      </c>
      <c r="AQ222" s="139" t="s">
        <v>112</v>
      </c>
      <c r="AV222" s="136">
        <f>AW222+AX222</f>
      </c>
      <c r="AW222" s="136">
        <f>F222*AO222</f>
      </c>
      <c r="AX222" s="136">
        <f>F222*AP222</f>
      </c>
      <c r="AY222" s="139" t="s">
        <v>535</v>
      </c>
      <c r="AZ222" s="139" t="s">
        <v>395</v>
      </c>
      <c r="BA222" s="112" t="s">
        <v>119</v>
      </c>
      <c r="BC222" s="136">
        <f>AW222+AX222</f>
      </c>
      <c r="BD222" s="136">
        <f>G222/(100-BE222)*100</f>
      </c>
      <c r="BE222" s="136" t="n">
        <v>0</v>
      </c>
      <c r="BF222" s="136">
        <f>222</f>
      </c>
      <c r="BH222" s="136">
        <f>F222*AO222</f>
      </c>
      <c r="BI222" s="136">
        <f>F222*AP222</f>
      </c>
      <c r="BJ222" s="136">
        <f>F222*G222</f>
      </c>
      <c r="BK222" s="136"/>
      <c r="BL222" s="136"/>
      <c r="BW222" s="136" t="n">
        <v>21</v>
      </c>
      <c r="BX222" s="14" t="s">
        <v>547</v>
      </c>
    </row>
    <row r="223">
      <c r="A223" s="9" t="s">
        <v>548</v>
      </c>
      <c r="B223" s="10" t="s">
        <v>549</v>
      </c>
      <c r="C223" s="14" t="s">
        <v>550</v>
      </c>
      <c r="D223" s="10"/>
      <c r="E223" s="10" t="s">
        <v>534</v>
      </c>
      <c r="F223" s="136" t="n">
        <v>20</v>
      </c>
      <c r="G223" s="137" t="n">
        <v>0</v>
      </c>
      <c r="H223" s="136">
        <f>F223*AO223</f>
      </c>
      <c r="I223" s="136">
        <f>F223*AP223</f>
      </c>
      <c r="J223" s="136">
        <f>F223*G223</f>
      </c>
      <c r="K223" s="138" t="s">
        <v>10</v>
      </c>
      <c r="Z223" s="136">
        <f>IF(AQ223="5",BJ223,0)</f>
      </c>
      <c r="AB223" s="136">
        <f>IF(AQ223="1",BH223,0)</f>
      </c>
      <c r="AC223" s="136">
        <f>IF(AQ223="1",BI223,0)</f>
      </c>
      <c r="AD223" s="136">
        <f>IF(AQ223="7",BH223,0)</f>
      </c>
      <c r="AE223" s="136">
        <f>IF(AQ223="7",BI223,0)</f>
      </c>
      <c r="AF223" s="136">
        <f>IF(AQ223="2",BH223,0)</f>
      </c>
      <c r="AG223" s="136">
        <f>IF(AQ223="2",BI223,0)</f>
      </c>
      <c r="AH223" s="136">
        <f>IF(AQ223="0",BJ223,0)</f>
      </c>
      <c r="AI223" s="112" t="s">
        <v>10</v>
      </c>
      <c r="AJ223" s="136">
        <f>IF(AN223=0,J223,0)</f>
      </c>
      <c r="AK223" s="136">
        <f>IF(AN223=12,J223,0)</f>
      </c>
      <c r="AL223" s="136">
        <f>IF(AN223=21,J223,0)</f>
      </c>
      <c r="AN223" s="136" t="n">
        <v>21</v>
      </c>
      <c r="AO223" s="136">
        <f>G223*0</f>
      </c>
      <c r="AP223" s="136">
        <f>G223*(1-0)</f>
      </c>
      <c r="AQ223" s="139" t="s">
        <v>112</v>
      </c>
      <c r="AV223" s="136">
        <f>AW223+AX223</f>
      </c>
      <c r="AW223" s="136">
        <f>F223*AO223</f>
      </c>
      <c r="AX223" s="136">
        <f>F223*AP223</f>
      </c>
      <c r="AY223" s="139" t="s">
        <v>535</v>
      </c>
      <c r="AZ223" s="139" t="s">
        <v>395</v>
      </c>
      <c r="BA223" s="112" t="s">
        <v>119</v>
      </c>
      <c r="BC223" s="136">
        <f>AW223+AX223</f>
      </c>
      <c r="BD223" s="136">
        <f>G223/(100-BE223)*100</f>
      </c>
      <c r="BE223" s="136" t="n">
        <v>0</v>
      </c>
      <c r="BF223" s="136">
        <f>223</f>
      </c>
      <c r="BH223" s="136">
        <f>F223*AO223</f>
      </c>
      <c r="BI223" s="136">
        <f>F223*AP223</f>
      </c>
      <c r="BJ223" s="136">
        <f>F223*G223</f>
      </c>
      <c r="BK223" s="136"/>
      <c r="BL223" s="136"/>
      <c r="BW223" s="136" t="n">
        <v>21</v>
      </c>
      <c r="BX223" s="14" t="s">
        <v>550</v>
      </c>
    </row>
    <row r="224">
      <c r="A224" s="9" t="s">
        <v>551</v>
      </c>
      <c r="B224" s="10" t="s">
        <v>552</v>
      </c>
      <c r="C224" s="14" t="s">
        <v>553</v>
      </c>
      <c r="D224" s="10"/>
      <c r="E224" s="10" t="s">
        <v>554</v>
      </c>
      <c r="F224" s="136" t="n">
        <v>5</v>
      </c>
      <c r="G224" s="137" t="n">
        <v>0</v>
      </c>
      <c r="H224" s="136">
        <f>F224*AO224</f>
      </c>
      <c r="I224" s="136">
        <f>F224*AP224</f>
      </c>
      <c r="J224" s="136">
        <f>F224*G224</f>
      </c>
      <c r="K224" s="138" t="s">
        <v>10</v>
      </c>
      <c r="Z224" s="136">
        <f>IF(AQ224="5",BJ224,0)</f>
      </c>
      <c r="AB224" s="136">
        <f>IF(AQ224="1",BH224,0)</f>
      </c>
      <c r="AC224" s="136">
        <f>IF(AQ224="1",BI224,0)</f>
      </c>
      <c r="AD224" s="136">
        <f>IF(AQ224="7",BH224,0)</f>
      </c>
      <c r="AE224" s="136">
        <f>IF(AQ224="7",BI224,0)</f>
      </c>
      <c r="AF224" s="136">
        <f>IF(AQ224="2",BH224,0)</f>
      </c>
      <c r="AG224" s="136">
        <f>IF(AQ224="2",BI224,0)</f>
      </c>
      <c r="AH224" s="136">
        <f>IF(AQ224="0",BJ224,0)</f>
      </c>
      <c r="AI224" s="112" t="s">
        <v>10</v>
      </c>
      <c r="AJ224" s="136">
        <f>IF(AN224=0,J224,0)</f>
      </c>
      <c r="AK224" s="136">
        <f>IF(AN224=12,J224,0)</f>
      </c>
      <c r="AL224" s="136">
        <f>IF(AN224=21,J224,0)</f>
      </c>
      <c r="AN224" s="136" t="n">
        <v>21</v>
      </c>
      <c r="AO224" s="136">
        <f>G224*0</f>
      </c>
      <c r="AP224" s="136">
        <f>G224*(1-0)</f>
      </c>
      <c r="AQ224" s="139" t="s">
        <v>112</v>
      </c>
      <c r="AV224" s="136">
        <f>AW224+AX224</f>
      </c>
      <c r="AW224" s="136">
        <f>F224*AO224</f>
      </c>
      <c r="AX224" s="136">
        <f>F224*AP224</f>
      </c>
      <c r="AY224" s="139" t="s">
        <v>535</v>
      </c>
      <c r="AZ224" s="139" t="s">
        <v>395</v>
      </c>
      <c r="BA224" s="112" t="s">
        <v>119</v>
      </c>
      <c r="BC224" s="136">
        <f>AW224+AX224</f>
      </c>
      <c r="BD224" s="136">
        <f>G224/(100-BE224)*100</f>
      </c>
      <c r="BE224" s="136" t="n">
        <v>0</v>
      </c>
      <c r="BF224" s="136">
        <f>224</f>
      </c>
      <c r="BH224" s="136">
        <f>F224*AO224</f>
      </c>
      <c r="BI224" s="136">
        <f>F224*AP224</f>
      </c>
      <c r="BJ224" s="136">
        <f>F224*G224</f>
      </c>
      <c r="BK224" s="136"/>
      <c r="BL224" s="136"/>
      <c r="BW224" s="136" t="n">
        <v>21</v>
      </c>
      <c r="BX224" s="14" t="s">
        <v>553</v>
      </c>
    </row>
    <row r="225">
      <c r="A225" s="9" t="s">
        <v>555</v>
      </c>
      <c r="B225" s="10" t="s">
        <v>556</v>
      </c>
      <c r="C225" s="14" t="s">
        <v>557</v>
      </c>
      <c r="D225" s="10"/>
      <c r="E225" s="10" t="s">
        <v>534</v>
      </c>
      <c r="F225" s="136" t="n">
        <v>5</v>
      </c>
      <c r="G225" s="137" t="n">
        <v>0</v>
      </c>
      <c r="H225" s="136">
        <f>F225*AO225</f>
      </c>
      <c r="I225" s="136">
        <f>F225*AP225</f>
      </c>
      <c r="J225" s="136">
        <f>F225*G225</f>
      </c>
      <c r="K225" s="138" t="s">
        <v>10</v>
      </c>
      <c r="Z225" s="136">
        <f>IF(AQ225="5",BJ225,0)</f>
      </c>
      <c r="AB225" s="136">
        <f>IF(AQ225="1",BH225,0)</f>
      </c>
      <c r="AC225" s="136">
        <f>IF(AQ225="1",BI225,0)</f>
      </c>
      <c r="AD225" s="136">
        <f>IF(AQ225="7",BH225,0)</f>
      </c>
      <c r="AE225" s="136">
        <f>IF(AQ225="7",BI225,0)</f>
      </c>
      <c r="AF225" s="136">
        <f>IF(AQ225="2",BH225,0)</f>
      </c>
      <c r="AG225" s="136">
        <f>IF(AQ225="2",BI225,0)</f>
      </c>
      <c r="AH225" s="136">
        <f>IF(AQ225="0",BJ225,0)</f>
      </c>
      <c r="AI225" s="112" t="s">
        <v>10</v>
      </c>
      <c r="AJ225" s="136">
        <f>IF(AN225=0,J225,0)</f>
      </c>
      <c r="AK225" s="136">
        <f>IF(AN225=12,J225,0)</f>
      </c>
      <c r="AL225" s="136">
        <f>IF(AN225=21,J225,0)</f>
      </c>
      <c r="AN225" s="136" t="n">
        <v>21</v>
      </c>
      <c r="AO225" s="136">
        <f>G225*0</f>
      </c>
      <c r="AP225" s="136">
        <f>G225*(1-0)</f>
      </c>
      <c r="AQ225" s="139" t="s">
        <v>112</v>
      </c>
      <c r="AV225" s="136">
        <f>AW225+AX225</f>
      </c>
      <c r="AW225" s="136">
        <f>F225*AO225</f>
      </c>
      <c r="AX225" s="136">
        <f>F225*AP225</f>
      </c>
      <c r="AY225" s="139" t="s">
        <v>535</v>
      </c>
      <c r="AZ225" s="139" t="s">
        <v>395</v>
      </c>
      <c r="BA225" s="112" t="s">
        <v>119</v>
      </c>
      <c r="BC225" s="136">
        <f>AW225+AX225</f>
      </c>
      <c r="BD225" s="136">
        <f>G225/(100-BE225)*100</f>
      </c>
      <c r="BE225" s="136" t="n">
        <v>0</v>
      </c>
      <c r="BF225" s="136">
        <f>225</f>
      </c>
      <c r="BH225" s="136">
        <f>F225*AO225</f>
      </c>
      <c r="BI225" s="136">
        <f>F225*AP225</f>
      </c>
      <c r="BJ225" s="136">
        <f>F225*G225</f>
      </c>
      <c r="BK225" s="136"/>
      <c r="BL225" s="136"/>
      <c r="BW225" s="136" t="n">
        <v>21</v>
      </c>
      <c r="BX225" s="14" t="s">
        <v>557</v>
      </c>
    </row>
    <row r="226">
      <c r="A226" s="9" t="s">
        <v>558</v>
      </c>
      <c r="B226" s="10" t="s">
        <v>559</v>
      </c>
      <c r="C226" s="14" t="s">
        <v>560</v>
      </c>
      <c r="D226" s="10"/>
      <c r="E226" s="10" t="s">
        <v>534</v>
      </c>
      <c r="F226" s="136" t="n">
        <v>10</v>
      </c>
      <c r="G226" s="137" t="n">
        <v>0</v>
      </c>
      <c r="H226" s="136">
        <f>F226*AO226</f>
      </c>
      <c r="I226" s="136">
        <f>F226*AP226</f>
      </c>
      <c r="J226" s="136">
        <f>F226*G226</f>
      </c>
      <c r="K226" s="138" t="s">
        <v>10</v>
      </c>
      <c r="Z226" s="136">
        <f>IF(AQ226="5",BJ226,0)</f>
      </c>
      <c r="AB226" s="136">
        <f>IF(AQ226="1",BH226,0)</f>
      </c>
      <c r="AC226" s="136">
        <f>IF(AQ226="1",BI226,0)</f>
      </c>
      <c r="AD226" s="136">
        <f>IF(AQ226="7",BH226,0)</f>
      </c>
      <c r="AE226" s="136">
        <f>IF(AQ226="7",BI226,0)</f>
      </c>
      <c r="AF226" s="136">
        <f>IF(AQ226="2",BH226,0)</f>
      </c>
      <c r="AG226" s="136">
        <f>IF(AQ226="2",BI226,0)</f>
      </c>
      <c r="AH226" s="136">
        <f>IF(AQ226="0",BJ226,0)</f>
      </c>
      <c r="AI226" s="112" t="s">
        <v>10</v>
      </c>
      <c r="AJ226" s="136">
        <f>IF(AN226=0,J226,0)</f>
      </c>
      <c r="AK226" s="136">
        <f>IF(AN226=12,J226,0)</f>
      </c>
      <c r="AL226" s="136">
        <f>IF(AN226=21,J226,0)</f>
      </c>
      <c r="AN226" s="136" t="n">
        <v>21</v>
      </c>
      <c r="AO226" s="136">
        <f>G226*0</f>
      </c>
      <c r="AP226" s="136">
        <f>G226*(1-0)</f>
      </c>
      <c r="AQ226" s="139" t="s">
        <v>112</v>
      </c>
      <c r="AV226" s="136">
        <f>AW226+AX226</f>
      </c>
      <c r="AW226" s="136">
        <f>F226*AO226</f>
      </c>
      <c r="AX226" s="136">
        <f>F226*AP226</f>
      </c>
      <c r="AY226" s="139" t="s">
        <v>535</v>
      </c>
      <c r="AZ226" s="139" t="s">
        <v>395</v>
      </c>
      <c r="BA226" s="112" t="s">
        <v>119</v>
      </c>
      <c r="BC226" s="136">
        <f>AW226+AX226</f>
      </c>
      <c r="BD226" s="136">
        <f>G226/(100-BE226)*100</f>
      </c>
      <c r="BE226" s="136" t="n">
        <v>0</v>
      </c>
      <c r="BF226" s="136">
        <f>226</f>
      </c>
      <c r="BH226" s="136">
        <f>F226*AO226</f>
      </c>
      <c r="BI226" s="136">
        <f>F226*AP226</f>
      </c>
      <c r="BJ226" s="136">
        <f>F226*G226</f>
      </c>
      <c r="BK226" s="136"/>
      <c r="BL226" s="136"/>
      <c r="BW226" s="136" t="n">
        <v>21</v>
      </c>
      <c r="BX226" s="14" t="s">
        <v>560</v>
      </c>
    </row>
    <row r="227">
      <c r="A227" s="9" t="s">
        <v>561</v>
      </c>
      <c r="B227" s="10" t="s">
        <v>562</v>
      </c>
      <c r="C227" s="14" t="s">
        <v>563</v>
      </c>
      <c r="D227" s="10"/>
      <c r="E227" s="10" t="s">
        <v>534</v>
      </c>
      <c r="F227" s="136" t="n">
        <v>1</v>
      </c>
      <c r="G227" s="137" t="n">
        <v>0</v>
      </c>
      <c r="H227" s="136">
        <f>F227*AO227</f>
      </c>
      <c r="I227" s="136">
        <f>F227*AP227</f>
      </c>
      <c r="J227" s="136">
        <f>F227*G227</f>
      </c>
      <c r="K227" s="138" t="s">
        <v>10</v>
      </c>
      <c r="Z227" s="136">
        <f>IF(AQ227="5",BJ227,0)</f>
      </c>
      <c r="AB227" s="136">
        <f>IF(AQ227="1",BH227,0)</f>
      </c>
      <c r="AC227" s="136">
        <f>IF(AQ227="1",BI227,0)</f>
      </c>
      <c r="AD227" s="136">
        <f>IF(AQ227="7",BH227,0)</f>
      </c>
      <c r="AE227" s="136">
        <f>IF(AQ227="7",BI227,0)</f>
      </c>
      <c r="AF227" s="136">
        <f>IF(AQ227="2",BH227,0)</f>
      </c>
      <c r="AG227" s="136">
        <f>IF(AQ227="2",BI227,0)</f>
      </c>
      <c r="AH227" s="136">
        <f>IF(AQ227="0",BJ227,0)</f>
      </c>
      <c r="AI227" s="112" t="s">
        <v>10</v>
      </c>
      <c r="AJ227" s="136">
        <f>IF(AN227=0,J227,0)</f>
      </c>
      <c r="AK227" s="136">
        <f>IF(AN227=12,J227,0)</f>
      </c>
      <c r="AL227" s="136">
        <f>IF(AN227=21,J227,0)</f>
      </c>
      <c r="AN227" s="136" t="n">
        <v>21</v>
      </c>
      <c r="AO227" s="136">
        <f>G227*0</f>
      </c>
      <c r="AP227" s="136">
        <f>G227*(1-0)</f>
      </c>
      <c r="AQ227" s="139" t="s">
        <v>112</v>
      </c>
      <c r="AV227" s="136">
        <f>AW227+AX227</f>
      </c>
      <c r="AW227" s="136">
        <f>F227*AO227</f>
      </c>
      <c r="AX227" s="136">
        <f>F227*AP227</f>
      </c>
      <c r="AY227" s="139" t="s">
        <v>535</v>
      </c>
      <c r="AZ227" s="139" t="s">
        <v>395</v>
      </c>
      <c r="BA227" s="112" t="s">
        <v>119</v>
      </c>
      <c r="BC227" s="136">
        <f>AW227+AX227</f>
      </c>
      <c r="BD227" s="136">
        <f>G227/(100-BE227)*100</f>
      </c>
      <c r="BE227" s="136" t="n">
        <v>0</v>
      </c>
      <c r="BF227" s="136">
        <f>227</f>
      </c>
      <c r="BH227" s="136">
        <f>F227*AO227</f>
      </c>
      <c r="BI227" s="136">
        <f>F227*AP227</f>
      </c>
      <c r="BJ227" s="136">
        <f>F227*G227</f>
      </c>
      <c r="BK227" s="136"/>
      <c r="BL227" s="136"/>
      <c r="BW227" s="136" t="n">
        <v>21</v>
      </c>
      <c r="BX227" s="14" t="s">
        <v>563</v>
      </c>
    </row>
    <row r="228">
      <c r="A228" s="9" t="s">
        <v>564</v>
      </c>
      <c r="B228" s="10" t="s">
        <v>565</v>
      </c>
      <c r="C228" s="14" t="s">
        <v>566</v>
      </c>
      <c r="D228" s="10"/>
      <c r="E228" s="10" t="s">
        <v>534</v>
      </c>
      <c r="F228" s="136" t="n">
        <v>1</v>
      </c>
      <c r="G228" s="137" t="n">
        <v>0</v>
      </c>
      <c r="H228" s="136">
        <f>F228*AO228</f>
      </c>
      <c r="I228" s="136">
        <f>F228*AP228</f>
      </c>
      <c r="J228" s="136">
        <f>F228*G228</f>
      </c>
      <c r="K228" s="138" t="s">
        <v>10</v>
      </c>
      <c r="Z228" s="136">
        <f>IF(AQ228="5",BJ228,0)</f>
      </c>
      <c r="AB228" s="136">
        <f>IF(AQ228="1",BH228,0)</f>
      </c>
      <c r="AC228" s="136">
        <f>IF(AQ228="1",BI228,0)</f>
      </c>
      <c r="AD228" s="136">
        <f>IF(AQ228="7",BH228,0)</f>
      </c>
      <c r="AE228" s="136">
        <f>IF(AQ228="7",BI228,0)</f>
      </c>
      <c r="AF228" s="136">
        <f>IF(AQ228="2",BH228,0)</f>
      </c>
      <c r="AG228" s="136">
        <f>IF(AQ228="2",BI228,0)</f>
      </c>
      <c r="AH228" s="136">
        <f>IF(AQ228="0",BJ228,0)</f>
      </c>
      <c r="AI228" s="112" t="s">
        <v>10</v>
      </c>
      <c r="AJ228" s="136">
        <f>IF(AN228=0,J228,0)</f>
      </c>
      <c r="AK228" s="136">
        <f>IF(AN228=12,J228,0)</f>
      </c>
      <c r="AL228" s="136">
        <f>IF(AN228=21,J228,0)</f>
      </c>
      <c r="AN228" s="136" t="n">
        <v>21</v>
      </c>
      <c r="AO228" s="136">
        <f>G228*0</f>
      </c>
      <c r="AP228" s="136">
        <f>G228*(1-0)</f>
      </c>
      <c r="AQ228" s="139" t="s">
        <v>112</v>
      </c>
      <c r="AV228" s="136">
        <f>AW228+AX228</f>
      </c>
      <c r="AW228" s="136">
        <f>F228*AO228</f>
      </c>
      <c r="AX228" s="136">
        <f>F228*AP228</f>
      </c>
      <c r="AY228" s="139" t="s">
        <v>535</v>
      </c>
      <c r="AZ228" s="139" t="s">
        <v>395</v>
      </c>
      <c r="BA228" s="112" t="s">
        <v>119</v>
      </c>
      <c r="BC228" s="136">
        <f>AW228+AX228</f>
      </c>
      <c r="BD228" s="136">
        <f>G228/(100-BE228)*100</f>
      </c>
      <c r="BE228" s="136" t="n">
        <v>0</v>
      </c>
      <c r="BF228" s="136">
        <f>228</f>
      </c>
      <c r="BH228" s="136">
        <f>F228*AO228</f>
      </c>
      <c r="BI228" s="136">
        <f>F228*AP228</f>
      </c>
      <c r="BJ228" s="136">
        <f>F228*G228</f>
      </c>
      <c r="BK228" s="136"/>
      <c r="BL228" s="136"/>
      <c r="BW228" s="136" t="n">
        <v>21</v>
      </c>
      <c r="BX228" s="14" t="s">
        <v>566</v>
      </c>
    </row>
    <row r="229">
      <c r="A229" s="9" t="s">
        <v>567</v>
      </c>
      <c r="B229" s="10" t="s">
        <v>568</v>
      </c>
      <c r="C229" s="14" t="s">
        <v>569</v>
      </c>
      <c r="D229" s="10"/>
      <c r="E229" s="10" t="s">
        <v>534</v>
      </c>
      <c r="F229" s="136" t="n">
        <v>1</v>
      </c>
      <c r="G229" s="137" t="n">
        <v>0</v>
      </c>
      <c r="H229" s="136">
        <f>F229*AO229</f>
      </c>
      <c r="I229" s="136">
        <f>F229*AP229</f>
      </c>
      <c r="J229" s="136">
        <f>F229*G229</f>
      </c>
      <c r="K229" s="138" t="s">
        <v>10</v>
      </c>
      <c r="Z229" s="136">
        <f>IF(AQ229="5",BJ229,0)</f>
      </c>
      <c r="AB229" s="136">
        <f>IF(AQ229="1",BH229,0)</f>
      </c>
      <c r="AC229" s="136">
        <f>IF(AQ229="1",BI229,0)</f>
      </c>
      <c r="AD229" s="136">
        <f>IF(AQ229="7",BH229,0)</f>
      </c>
      <c r="AE229" s="136">
        <f>IF(AQ229="7",BI229,0)</f>
      </c>
      <c r="AF229" s="136">
        <f>IF(AQ229="2",BH229,0)</f>
      </c>
      <c r="AG229" s="136">
        <f>IF(AQ229="2",BI229,0)</f>
      </c>
      <c r="AH229" s="136">
        <f>IF(AQ229="0",BJ229,0)</f>
      </c>
      <c r="AI229" s="112" t="s">
        <v>10</v>
      </c>
      <c r="AJ229" s="136">
        <f>IF(AN229=0,J229,0)</f>
      </c>
      <c r="AK229" s="136">
        <f>IF(AN229=12,J229,0)</f>
      </c>
      <c r="AL229" s="136">
        <f>IF(AN229=21,J229,0)</f>
      </c>
      <c r="AN229" s="136" t="n">
        <v>21</v>
      </c>
      <c r="AO229" s="136">
        <f>G229*0</f>
      </c>
      <c r="AP229" s="136">
        <f>G229*(1-0)</f>
      </c>
      <c r="AQ229" s="139" t="s">
        <v>112</v>
      </c>
      <c r="AV229" s="136">
        <f>AW229+AX229</f>
      </c>
      <c r="AW229" s="136">
        <f>F229*AO229</f>
      </c>
      <c r="AX229" s="136">
        <f>F229*AP229</f>
      </c>
      <c r="AY229" s="139" t="s">
        <v>535</v>
      </c>
      <c r="AZ229" s="139" t="s">
        <v>395</v>
      </c>
      <c r="BA229" s="112" t="s">
        <v>119</v>
      </c>
      <c r="BC229" s="136">
        <f>AW229+AX229</f>
      </c>
      <c r="BD229" s="136">
        <f>G229/(100-BE229)*100</f>
      </c>
      <c r="BE229" s="136" t="n">
        <v>0</v>
      </c>
      <c r="BF229" s="136">
        <f>229</f>
      </c>
      <c r="BH229" s="136">
        <f>F229*AO229</f>
      </c>
      <c r="BI229" s="136">
        <f>F229*AP229</f>
      </c>
      <c r="BJ229" s="136">
        <f>F229*G229</f>
      </c>
      <c r="BK229" s="136"/>
      <c r="BL229" s="136"/>
      <c r="BW229" s="136" t="n">
        <v>21</v>
      </c>
      <c r="BX229" s="14" t="s">
        <v>569</v>
      </c>
    </row>
    <row r="230">
      <c r="A230" s="17" t="s">
        <v>570</v>
      </c>
      <c r="B230" s="18" t="s">
        <v>571</v>
      </c>
      <c r="C230" s="146" t="s">
        <v>572</v>
      </c>
      <c r="D230" s="18"/>
      <c r="E230" s="18" t="s">
        <v>534</v>
      </c>
      <c r="F230" s="147" t="n">
        <v>1</v>
      </c>
      <c r="G230" s="148" t="n">
        <v>0</v>
      </c>
      <c r="H230" s="147">
        <f>F230*AO230</f>
      </c>
      <c r="I230" s="147">
        <f>F230*AP230</f>
      </c>
      <c r="J230" s="147">
        <f>F230*G230</f>
      </c>
      <c r="K230" s="149" t="s">
        <v>10</v>
      </c>
      <c r="Z230" s="136">
        <f>IF(AQ230="5",BJ230,0)</f>
      </c>
      <c r="AB230" s="136">
        <f>IF(AQ230="1",BH230,0)</f>
      </c>
      <c r="AC230" s="136">
        <f>IF(AQ230="1",BI230,0)</f>
      </c>
      <c r="AD230" s="136">
        <f>IF(AQ230="7",BH230,0)</f>
      </c>
      <c r="AE230" s="136">
        <f>IF(AQ230="7",BI230,0)</f>
      </c>
      <c r="AF230" s="136">
        <f>IF(AQ230="2",BH230,0)</f>
      </c>
      <c r="AG230" s="136">
        <f>IF(AQ230="2",BI230,0)</f>
      </c>
      <c r="AH230" s="136">
        <f>IF(AQ230="0",BJ230,0)</f>
      </c>
      <c r="AI230" s="112" t="s">
        <v>10</v>
      </c>
      <c r="AJ230" s="136">
        <f>IF(AN230=0,J230,0)</f>
      </c>
      <c r="AK230" s="136">
        <f>IF(AN230=12,J230,0)</f>
      </c>
      <c r="AL230" s="136">
        <f>IF(AN230=21,J230,0)</f>
      </c>
      <c r="AN230" s="136" t="n">
        <v>21</v>
      </c>
      <c r="AO230" s="136">
        <f>G230*0</f>
      </c>
      <c r="AP230" s="136">
        <f>G230*(1-0)</f>
      </c>
      <c r="AQ230" s="139" t="s">
        <v>112</v>
      </c>
      <c r="AV230" s="136">
        <f>AW230+AX230</f>
      </c>
      <c r="AW230" s="136">
        <f>F230*AO230</f>
      </c>
      <c r="AX230" s="136">
        <f>F230*AP230</f>
      </c>
      <c r="AY230" s="139" t="s">
        <v>535</v>
      </c>
      <c r="AZ230" s="139" t="s">
        <v>395</v>
      </c>
      <c r="BA230" s="112" t="s">
        <v>119</v>
      </c>
      <c r="BC230" s="136">
        <f>AW230+AX230</f>
      </c>
      <c r="BD230" s="136">
        <f>G230/(100-BE230)*100</f>
      </c>
      <c r="BE230" s="136" t="n">
        <v>0</v>
      </c>
      <c r="BF230" s="136">
        <f>230</f>
      </c>
      <c r="BH230" s="136">
        <f>F230*AO230</f>
      </c>
      <c r="BI230" s="136">
        <f>F230*AP230</f>
      </c>
      <c r="BJ230" s="136">
        <f>F230*G230</f>
      </c>
      <c r="BK230" s="136"/>
      <c r="BL230" s="136"/>
      <c r="BW230" s="136" t="n">
        <v>21</v>
      </c>
      <c r="BX230" s="14" t="s">
        <v>572</v>
      </c>
    </row>
    <row r="231">
      <c r="H231" s="150" t="s">
        <v>573</v>
      </c>
      <c r="I231" s="150"/>
      <c r="J231" s="151">
        <f>J13+J40+J45+J52+J55+J63+J70+J83+J94+J106+J116+J130+J134+J138+J142+J180+J191+J205+J217</f>
      </c>
    </row>
    <row r="232">
      <c r="A232" s="152" t="s">
        <v>58</v>
      </c>
    </row>
    <row r="233" customHeight="true" ht="12.75">
      <c r="A233" s="14" t="s">
        <v>10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8B3"/>
  <mergeCells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C8:D9"/>
    <mergeCell ref="G2:G3"/>
    <mergeCell ref="G4:G5"/>
    <mergeCell ref="G6:G7"/>
    <mergeCell ref="G8:G9"/>
    <mergeCell ref="I2:K3"/>
    <mergeCell ref="I4:K5"/>
    <mergeCell ref="I6:K7"/>
    <mergeCell ref="I8:K9"/>
    <mergeCell ref="C10:D10"/>
    <mergeCell ref="C11:D11"/>
    <mergeCell ref="H10:J10"/>
    <mergeCell ref="C12:D12"/>
    <mergeCell ref="C13:D13"/>
    <mergeCell ref="C14:D14"/>
    <mergeCell ref="C15:D15"/>
    <mergeCell ref="C16:D16"/>
    <mergeCell ref="C17:D17"/>
    <mergeCell ref="C18:K18"/>
    <mergeCell ref="C19:D19"/>
    <mergeCell ref="C20:K20"/>
    <mergeCell ref="C21:D21"/>
    <mergeCell ref="C22:K22"/>
    <mergeCell ref="C23:D23"/>
    <mergeCell ref="C24:D24"/>
    <mergeCell ref="C25:K25"/>
    <mergeCell ref="C26:D26"/>
    <mergeCell ref="C27:K27"/>
    <mergeCell ref="C28:D28"/>
    <mergeCell ref="C29:K29"/>
    <mergeCell ref="C30:D30"/>
    <mergeCell ref="C31:K31"/>
    <mergeCell ref="C32:D32"/>
    <mergeCell ref="C33:D33"/>
    <mergeCell ref="C34:K34"/>
    <mergeCell ref="C35:D35"/>
    <mergeCell ref="C36:K36"/>
    <mergeCell ref="C37:D37"/>
    <mergeCell ref="C38:D38"/>
    <mergeCell ref="C39:K39"/>
    <mergeCell ref="C40:D40"/>
    <mergeCell ref="C41:D41"/>
    <mergeCell ref="C42:D42"/>
    <mergeCell ref="C43:K43"/>
    <mergeCell ref="C44:D44"/>
    <mergeCell ref="C45:D45"/>
    <mergeCell ref="C46:D46"/>
    <mergeCell ref="C47:D47"/>
    <mergeCell ref="C48:K48"/>
    <mergeCell ref="C49:D49"/>
    <mergeCell ref="C50:D50"/>
    <mergeCell ref="C51:K51"/>
    <mergeCell ref="C52:D52"/>
    <mergeCell ref="C53:D53"/>
    <mergeCell ref="C54:K54"/>
    <mergeCell ref="C55:D55"/>
    <mergeCell ref="C56:D56"/>
    <mergeCell ref="C57:D57"/>
    <mergeCell ref="C58:K58"/>
    <mergeCell ref="C59:D59"/>
    <mergeCell ref="C60:K60"/>
    <mergeCell ref="C61:D61"/>
    <mergeCell ref="C62:D62"/>
    <mergeCell ref="C63:D63"/>
    <mergeCell ref="C64:D64"/>
    <mergeCell ref="C65:K65"/>
    <mergeCell ref="C66:D66"/>
    <mergeCell ref="C67:D67"/>
    <mergeCell ref="C68:D68"/>
    <mergeCell ref="C69:K69"/>
    <mergeCell ref="C70:D70"/>
    <mergeCell ref="C71:D71"/>
    <mergeCell ref="C72:K72"/>
    <mergeCell ref="C73:D73"/>
    <mergeCell ref="C74:K74"/>
    <mergeCell ref="C75:D75"/>
    <mergeCell ref="C76:D76"/>
    <mergeCell ref="C77:D77"/>
    <mergeCell ref="C78:D78"/>
    <mergeCell ref="C79:D79"/>
    <mergeCell ref="C80:K80"/>
    <mergeCell ref="C81:K81"/>
    <mergeCell ref="C82:D82"/>
    <mergeCell ref="C83:D83"/>
    <mergeCell ref="C84:D84"/>
    <mergeCell ref="C85:K85"/>
    <mergeCell ref="C86:D86"/>
    <mergeCell ref="C87:D87"/>
    <mergeCell ref="C88:K88"/>
    <mergeCell ref="C89:D89"/>
    <mergeCell ref="C90:K90"/>
    <mergeCell ref="C91:D91"/>
    <mergeCell ref="C92:D92"/>
    <mergeCell ref="C93:K93"/>
    <mergeCell ref="C94:D94"/>
    <mergeCell ref="C95:D95"/>
    <mergeCell ref="C96:D96"/>
    <mergeCell ref="C97:K97"/>
    <mergeCell ref="C98:D98"/>
    <mergeCell ref="C99:K99"/>
    <mergeCell ref="C100:D100"/>
    <mergeCell ref="C101:K101"/>
    <mergeCell ref="C102:D102"/>
    <mergeCell ref="C103:D103"/>
    <mergeCell ref="C104:K104"/>
    <mergeCell ref="C105:D105"/>
    <mergeCell ref="C106:D106"/>
    <mergeCell ref="C107:D107"/>
    <mergeCell ref="C108:D108"/>
    <mergeCell ref="C109:D109"/>
    <mergeCell ref="C110:K110"/>
    <mergeCell ref="C111:D111"/>
    <mergeCell ref="C112:D112"/>
    <mergeCell ref="C113:K113"/>
    <mergeCell ref="C114:D114"/>
    <mergeCell ref="C115:K115"/>
    <mergeCell ref="C116:D116"/>
    <mergeCell ref="C117:D117"/>
    <mergeCell ref="C118:D118"/>
    <mergeCell ref="C119:K119"/>
    <mergeCell ref="C120:D120"/>
    <mergeCell ref="C121:K121"/>
    <mergeCell ref="C122:D122"/>
    <mergeCell ref="C123:D123"/>
    <mergeCell ref="C124:K124"/>
    <mergeCell ref="C125:D125"/>
    <mergeCell ref="C126:K126"/>
    <mergeCell ref="C127:D127"/>
    <mergeCell ref="C128:K128"/>
    <mergeCell ref="C129:D129"/>
    <mergeCell ref="C130:D130"/>
    <mergeCell ref="C131:D131"/>
    <mergeCell ref="C132:D132"/>
    <mergeCell ref="C133:K133"/>
    <mergeCell ref="C134:D134"/>
    <mergeCell ref="C135:D135"/>
    <mergeCell ref="C136:K136"/>
    <mergeCell ref="C137:K137"/>
    <mergeCell ref="C138:D138"/>
    <mergeCell ref="C139:D139"/>
    <mergeCell ref="C140:K140"/>
    <mergeCell ref="C141:K141"/>
    <mergeCell ref="C142:D142"/>
    <mergeCell ref="C143:D143"/>
    <mergeCell ref="C144:K144"/>
    <mergeCell ref="C145:D145"/>
    <mergeCell ref="C146:K146"/>
    <mergeCell ref="C147:D147"/>
    <mergeCell ref="C148:K148"/>
    <mergeCell ref="C149:K149"/>
    <mergeCell ref="C150:D150"/>
    <mergeCell ref="C151:K151"/>
    <mergeCell ref="C152:K152"/>
    <mergeCell ref="C153:D153"/>
    <mergeCell ref="C154:K154"/>
    <mergeCell ref="C155:D155"/>
    <mergeCell ref="C156:D156"/>
    <mergeCell ref="C157:K157"/>
    <mergeCell ref="C158:K158"/>
    <mergeCell ref="C159:D159"/>
    <mergeCell ref="C160:K160"/>
    <mergeCell ref="C161:D161"/>
    <mergeCell ref="C162:K162"/>
    <mergeCell ref="C163:D163"/>
    <mergeCell ref="C164:K164"/>
    <mergeCell ref="C165:D165"/>
    <mergeCell ref="C166:K166"/>
    <mergeCell ref="C167:D167"/>
    <mergeCell ref="C168:K168"/>
    <mergeCell ref="C169:D169"/>
    <mergeCell ref="C170:K170"/>
    <mergeCell ref="C171:D171"/>
    <mergeCell ref="C172:K172"/>
    <mergeCell ref="C173:D173"/>
    <mergeCell ref="C174:K174"/>
    <mergeCell ref="C175:D175"/>
    <mergeCell ref="C176:D176"/>
    <mergeCell ref="C177:K177"/>
    <mergeCell ref="C178:D178"/>
    <mergeCell ref="C179:K179"/>
    <mergeCell ref="C180:D180"/>
    <mergeCell ref="C181:D181"/>
    <mergeCell ref="C182:K182"/>
    <mergeCell ref="C183:D183"/>
    <mergeCell ref="C184:D184"/>
    <mergeCell ref="C185:D185"/>
    <mergeCell ref="C186:K186"/>
    <mergeCell ref="C187:D187"/>
    <mergeCell ref="C188:K188"/>
    <mergeCell ref="C189:D189"/>
    <mergeCell ref="C190:D190"/>
    <mergeCell ref="C191:D191"/>
    <mergeCell ref="C192:D192"/>
    <mergeCell ref="C193:K193"/>
    <mergeCell ref="C194:D194"/>
    <mergeCell ref="C195:K195"/>
    <mergeCell ref="C196:D196"/>
    <mergeCell ref="C197:D197"/>
    <mergeCell ref="C198:D198"/>
    <mergeCell ref="C199:K199"/>
    <mergeCell ref="C200:D200"/>
    <mergeCell ref="C201:K201"/>
    <mergeCell ref="C202:D202"/>
    <mergeCell ref="C203:D203"/>
    <mergeCell ref="C204:K204"/>
    <mergeCell ref="C205:D205"/>
    <mergeCell ref="C206:D206"/>
    <mergeCell ref="C207:D207"/>
    <mergeCell ref="C208:K208"/>
    <mergeCell ref="C209:D209"/>
    <mergeCell ref="C210:K210"/>
    <mergeCell ref="C211:D211"/>
    <mergeCell ref="C212:K212"/>
    <mergeCell ref="C213:D213"/>
    <mergeCell ref="C214:K214"/>
    <mergeCell ref="C215:D215"/>
    <mergeCell ref="C216:K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H231:I231"/>
    <mergeCell ref="A233:K233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H341"/>
  <sheetViews>
    <sheetView workbookViewId="0" showZeros="true" showFormulas="false" showGridLines="true" showRowColHeaders="true">
      <selection sqref="A341:G341" activeCell="A341"/>
    </sheetView>
  </sheetViews>
  <sheetFormatPr defaultColWidth="12.140625" customHeight="true" defaultRowHeight="15"/>
  <cols>
    <col max="2" min="1" style="0" width="9.140625" customWidth="true"/>
    <col max="3" min="3" style="0" width="14.28515625" customWidth="true"/>
    <col max="4" min="4" style="0" width="52.28515625" customWidth="true"/>
    <col max="5" min="5" style="0" width="66.140625" customWidth="true"/>
    <col max="6" min="6" style="0" width="24.140625" customWidth="true"/>
    <col max="7" min="7" style="0" width="15.7109375" customWidth="true"/>
    <col max="8" min="8" style="0" width="19.99609375" customWidth="true"/>
  </cols>
  <sheetData>
    <row r="1" customHeight="true" ht="54.75">
      <c r="A1" s="2" t="s">
        <v>574</v>
      </c>
      <c r="B1" s="2"/>
      <c r="C1" s="2"/>
      <c r="D1" s="2"/>
      <c r="E1" s="2"/>
      <c r="F1" s="2"/>
      <c r="G1" s="2"/>
      <c r="H1" s="2"/>
    </row>
    <row r="2">
      <c r="A2" s="3" t="s">
        <v>1</v>
      </c>
      <c r="B2" s="4"/>
      <c r="C2" s="5">
        <f>'Stavební rozpočet'!C2</f>
      </c>
      <c r="D2" s="6"/>
      <c r="E2" s="7" t="s">
        <v>2</v>
      </c>
      <c r="F2" s="7">
        <f>'Stavební rozpočet'!I2</f>
      </c>
      <c r="G2" s="4"/>
      <c r="H2" s="8"/>
    </row>
    <row r="3" customHeight="true" ht="15">
      <c r="A3" s="9"/>
      <c r="B3" s="10"/>
      <c r="C3" s="11"/>
      <c r="D3" s="11"/>
      <c r="E3" s="10"/>
      <c r="F3" s="10"/>
      <c r="G3" s="10"/>
      <c r="H3" s="12"/>
    </row>
    <row r="4">
      <c r="A4" s="13" t="s">
        <v>5</v>
      </c>
      <c r="B4" s="10"/>
      <c r="C4" s="14">
        <f>'Stavební rozpočet'!C4</f>
      </c>
      <c r="D4" s="10"/>
      <c r="E4" s="14" t="s">
        <v>6</v>
      </c>
      <c r="F4" s="14">
        <f>'Stavební rozpočet'!I4</f>
      </c>
      <c r="G4" s="10"/>
      <c r="H4" s="12"/>
    </row>
    <row r="5" customHeight="true" ht="15">
      <c r="A5" s="9"/>
      <c r="B5" s="10"/>
      <c r="C5" s="10"/>
      <c r="D5" s="10"/>
      <c r="E5" s="10"/>
      <c r="F5" s="10"/>
      <c r="G5" s="10"/>
      <c r="H5" s="12"/>
    </row>
    <row r="6">
      <c r="A6" s="13" t="s">
        <v>8</v>
      </c>
      <c r="B6" s="10"/>
      <c r="C6" s="14">
        <f>'Stavební rozpočet'!C6</f>
      </c>
      <c r="D6" s="10"/>
      <c r="E6" s="14" t="s">
        <v>9</v>
      </c>
      <c r="F6" s="14">
        <f>'Stavební rozpočet'!I6</f>
      </c>
      <c r="G6" s="10"/>
      <c r="H6" s="12"/>
    </row>
    <row r="7" customHeight="true" ht="15">
      <c r="A7" s="9"/>
      <c r="B7" s="10"/>
      <c r="C7" s="10"/>
      <c r="D7" s="10"/>
      <c r="E7" s="10"/>
      <c r="F7" s="10"/>
      <c r="G7" s="10"/>
      <c r="H7" s="12"/>
    </row>
    <row r="8">
      <c r="A8" s="13" t="s">
        <v>15</v>
      </c>
      <c r="B8" s="10"/>
      <c r="C8" s="14">
        <f>'Stavební rozpočet'!I8</f>
      </c>
      <c r="D8" s="10"/>
      <c r="E8" s="14" t="s">
        <v>79</v>
      </c>
      <c r="F8" s="14">
        <f>'Stavební rozpočet'!G8</f>
      </c>
      <c r="G8" s="10"/>
      <c r="H8" s="12"/>
    </row>
    <row r="9">
      <c r="A9" s="98"/>
      <c r="B9" s="99"/>
      <c r="C9" s="99"/>
      <c r="D9" s="99"/>
      <c r="E9" s="99"/>
      <c r="F9" s="99"/>
      <c r="G9" s="99"/>
      <c r="H9" s="153"/>
    </row>
    <row r="10">
      <c r="A10" s="154" t="s">
        <v>81</v>
      </c>
      <c r="B10" s="155" t="s">
        <v>575</v>
      </c>
      <c r="C10" s="155" t="s">
        <v>82</v>
      </c>
      <c r="D10" s="156" t="s">
        <v>83</v>
      </c>
      <c r="E10" s="157"/>
      <c r="F10" s="155" t="s">
        <v>84</v>
      </c>
      <c r="G10" s="158" t="s">
        <v>85</v>
      </c>
      <c r="H10" s="159" t="s">
        <v>576</v>
      </c>
    </row>
    <row r="11">
      <c r="A11" s="160" t="s">
        <v>10</v>
      </c>
      <c r="B11" s="124" t="s">
        <v>10</v>
      </c>
      <c r="C11" s="124" t="s">
        <v>110</v>
      </c>
      <c r="D11" s="124" t="s">
        <v>111</v>
      </c>
      <c r="E11" s="124"/>
      <c r="F11" s="124" t="s">
        <v>10</v>
      </c>
      <c r="G11" s="161" t="s">
        <v>10</v>
      </c>
      <c r="H11" s="129" t="s">
        <v>10</v>
      </c>
    </row>
    <row r="12">
      <c r="A12" s="9" t="s">
        <v>112</v>
      </c>
      <c r="B12" s="10" t="s">
        <v>10</v>
      </c>
      <c r="C12" s="10" t="s">
        <v>113</v>
      </c>
      <c r="D12" s="10" t="s">
        <v>114</v>
      </c>
      <c r="E12" s="10"/>
      <c r="F12" s="10" t="s">
        <v>115</v>
      </c>
      <c r="G12" s="136" t="n">
        <v>176</v>
      </c>
      <c r="H12" s="162" t="n">
        <v>0</v>
      </c>
    </row>
    <row r="13">
      <c r="A13" s="140"/>
      <c r="D13" s="163" t="s">
        <v>577</v>
      </c>
      <c r="E13" s="163" t="s">
        <v>578</v>
      </c>
      <c r="F13" s="163"/>
      <c r="G13" s="164" t="n">
        <v>176</v>
      </c>
      <c r="H13" s="165"/>
    </row>
    <row r="14">
      <c r="A14" s="9" t="s">
        <v>120</v>
      </c>
      <c r="B14" s="10" t="s">
        <v>10</v>
      </c>
      <c r="C14" s="10" t="s">
        <v>121</v>
      </c>
      <c r="D14" s="10" t="s">
        <v>122</v>
      </c>
      <c r="E14" s="10"/>
      <c r="F14" s="10" t="s">
        <v>115</v>
      </c>
      <c r="G14" s="136" t="n">
        <v>335</v>
      </c>
      <c r="H14" s="162" t="n">
        <v>0</v>
      </c>
    </row>
    <row r="15">
      <c r="A15" s="140"/>
      <c r="D15" s="163" t="s">
        <v>579</v>
      </c>
      <c r="E15" s="163" t="s">
        <v>580</v>
      </c>
      <c r="F15" s="163"/>
      <c r="G15" s="164" t="n">
        <v>335</v>
      </c>
      <c r="H15" s="165"/>
    </row>
    <row r="16">
      <c r="A16" s="9" t="s">
        <v>123</v>
      </c>
      <c r="B16" s="10" t="s">
        <v>10</v>
      </c>
      <c r="C16" s="10" t="s">
        <v>124</v>
      </c>
      <c r="D16" s="10" t="s">
        <v>125</v>
      </c>
      <c r="E16" s="10"/>
      <c r="F16" s="10" t="s">
        <v>115</v>
      </c>
      <c r="G16" s="136" t="n">
        <v>212</v>
      </c>
      <c r="H16" s="162" t="n">
        <v>0</v>
      </c>
    </row>
    <row r="17">
      <c r="A17" s="140"/>
      <c r="D17" s="163" t="s">
        <v>581</v>
      </c>
      <c r="E17" s="163" t="s">
        <v>582</v>
      </c>
      <c r="F17" s="163"/>
      <c r="G17" s="164" t="n">
        <v>212</v>
      </c>
      <c r="H17" s="165"/>
    </row>
    <row r="18">
      <c r="A18" s="9" t="s">
        <v>126</v>
      </c>
      <c r="B18" s="10" t="s">
        <v>10</v>
      </c>
      <c r="C18" s="10" t="s">
        <v>127</v>
      </c>
      <c r="D18" s="10" t="s">
        <v>128</v>
      </c>
      <c r="E18" s="10"/>
      <c r="F18" s="10" t="s">
        <v>129</v>
      </c>
      <c r="G18" s="136" t="n">
        <v>145.6</v>
      </c>
      <c r="H18" s="162" t="n">
        <v>0</v>
      </c>
    </row>
    <row r="19" customHeight="true" ht="27">
      <c r="A19" s="140"/>
      <c r="C19" s="166" t="s">
        <v>131</v>
      </c>
      <c r="D19" s="142" t="s">
        <v>132</v>
      </c>
      <c r="E19" s="143"/>
      <c r="F19" s="143"/>
      <c r="G19" s="143"/>
      <c r="H19" s="165"/>
    </row>
    <row r="20">
      <c r="A20" s="9" t="s">
        <v>130</v>
      </c>
      <c r="B20" s="10" t="s">
        <v>10</v>
      </c>
      <c r="C20" s="10" t="s">
        <v>133</v>
      </c>
      <c r="D20" s="10" t="s">
        <v>134</v>
      </c>
      <c r="E20" s="10"/>
      <c r="F20" s="10" t="s">
        <v>135</v>
      </c>
      <c r="G20" s="136" t="n">
        <v>325</v>
      </c>
      <c r="H20" s="162" t="n">
        <v>0</v>
      </c>
    </row>
    <row r="21">
      <c r="A21" s="140"/>
      <c r="D21" s="163" t="s">
        <v>583</v>
      </c>
      <c r="E21" s="163" t="s">
        <v>10</v>
      </c>
      <c r="F21" s="163"/>
      <c r="G21" s="164" t="n">
        <v>325</v>
      </c>
      <c r="H21" s="165"/>
    </row>
    <row r="22" customHeight="true" ht="13.5">
      <c r="A22" s="140"/>
      <c r="C22" s="166" t="s">
        <v>131</v>
      </c>
      <c r="D22" s="142" t="s">
        <v>136</v>
      </c>
      <c r="E22" s="143"/>
      <c r="F22" s="143"/>
      <c r="G22" s="143"/>
      <c r="H22" s="165"/>
    </row>
    <row r="23">
      <c r="A23" s="9" t="s">
        <v>137</v>
      </c>
      <c r="B23" s="10" t="s">
        <v>10</v>
      </c>
      <c r="C23" s="10" t="s">
        <v>138</v>
      </c>
      <c r="D23" s="10" t="s">
        <v>139</v>
      </c>
      <c r="E23" s="10"/>
      <c r="F23" s="10" t="s">
        <v>129</v>
      </c>
      <c r="G23" s="136" t="n">
        <v>132.6</v>
      </c>
      <c r="H23" s="162" t="n">
        <v>0</v>
      </c>
    </row>
    <row r="24" customHeight="true" ht="27">
      <c r="A24" s="140"/>
      <c r="C24" s="166" t="s">
        <v>131</v>
      </c>
      <c r="D24" s="142" t="s">
        <v>140</v>
      </c>
      <c r="E24" s="143"/>
      <c r="F24" s="143"/>
      <c r="G24" s="143"/>
      <c r="H24" s="165"/>
    </row>
    <row r="25">
      <c r="A25" s="9" t="s">
        <v>141</v>
      </c>
      <c r="B25" s="10" t="s">
        <v>10</v>
      </c>
      <c r="C25" s="10" t="s">
        <v>142</v>
      </c>
      <c r="D25" s="10" t="s">
        <v>143</v>
      </c>
      <c r="E25" s="10"/>
      <c r="F25" s="10" t="s">
        <v>135</v>
      </c>
      <c r="G25" s="136" t="n">
        <v>15</v>
      </c>
      <c r="H25" s="162" t="n">
        <v>0</v>
      </c>
    </row>
    <row r="26">
      <c r="A26" s="140"/>
      <c r="D26" s="163" t="s">
        <v>164</v>
      </c>
      <c r="E26" s="163" t="s">
        <v>584</v>
      </c>
      <c r="F26" s="163"/>
      <c r="G26" s="164" t="n">
        <v>15</v>
      </c>
      <c r="H26" s="165"/>
    </row>
    <row r="27">
      <c r="A27" s="9" t="s">
        <v>144</v>
      </c>
      <c r="B27" s="10" t="s">
        <v>10</v>
      </c>
      <c r="C27" s="10" t="s">
        <v>145</v>
      </c>
      <c r="D27" s="10" t="s">
        <v>146</v>
      </c>
      <c r="E27" s="10"/>
      <c r="F27" s="10" t="s">
        <v>135</v>
      </c>
      <c r="G27" s="136" t="n">
        <v>45</v>
      </c>
      <c r="H27" s="162" t="n">
        <v>0</v>
      </c>
    </row>
    <row r="28">
      <c r="A28" s="140"/>
      <c r="D28" s="163" t="s">
        <v>278</v>
      </c>
      <c r="E28" s="163" t="s">
        <v>585</v>
      </c>
      <c r="F28" s="163"/>
      <c r="G28" s="164" t="n">
        <v>45</v>
      </c>
      <c r="H28" s="165"/>
    </row>
    <row r="29" customHeight="true" ht="27">
      <c r="A29" s="140"/>
      <c r="C29" s="166" t="s">
        <v>131</v>
      </c>
      <c r="D29" s="142" t="s">
        <v>147</v>
      </c>
      <c r="E29" s="143"/>
      <c r="F29" s="143"/>
      <c r="G29" s="143"/>
      <c r="H29" s="165"/>
    </row>
    <row r="30">
      <c r="A30" s="9" t="s">
        <v>148</v>
      </c>
      <c r="B30" s="10" t="s">
        <v>10</v>
      </c>
      <c r="C30" s="10" t="s">
        <v>127</v>
      </c>
      <c r="D30" s="10" t="s">
        <v>128</v>
      </c>
      <c r="E30" s="10"/>
      <c r="F30" s="10" t="s">
        <v>129</v>
      </c>
      <c r="G30" s="136" t="n">
        <v>13.785</v>
      </c>
      <c r="H30" s="162" t="n">
        <v>0</v>
      </c>
    </row>
    <row r="31" customHeight="true" ht="27">
      <c r="A31" s="140"/>
      <c r="C31" s="166" t="s">
        <v>131</v>
      </c>
      <c r="D31" s="142" t="s">
        <v>132</v>
      </c>
      <c r="E31" s="143"/>
      <c r="F31" s="143"/>
      <c r="G31" s="143"/>
      <c r="H31" s="165"/>
    </row>
    <row r="32">
      <c r="A32" s="9" t="s">
        <v>149</v>
      </c>
      <c r="B32" s="10" t="s">
        <v>10</v>
      </c>
      <c r="C32" s="10" t="s">
        <v>150</v>
      </c>
      <c r="D32" s="10" t="s">
        <v>151</v>
      </c>
      <c r="E32" s="10"/>
      <c r="F32" s="10" t="s">
        <v>135</v>
      </c>
      <c r="G32" s="136" t="n">
        <v>4080</v>
      </c>
      <c r="H32" s="162" t="n">
        <v>0</v>
      </c>
    </row>
    <row r="33">
      <c r="A33" s="140"/>
      <c r="D33" s="163" t="s">
        <v>586</v>
      </c>
      <c r="E33" s="163" t="s">
        <v>10</v>
      </c>
      <c r="F33" s="163"/>
      <c r="G33" s="164" t="n">
        <v>4080</v>
      </c>
      <c r="H33" s="165"/>
    </row>
    <row r="34" customHeight="true" ht="40.5">
      <c r="A34" s="140"/>
      <c r="C34" s="166" t="s">
        <v>131</v>
      </c>
      <c r="D34" s="142" t="s">
        <v>152</v>
      </c>
      <c r="E34" s="143"/>
      <c r="F34" s="143"/>
      <c r="G34" s="143"/>
      <c r="H34" s="165"/>
    </row>
    <row r="35">
      <c r="A35" s="9" t="s">
        <v>110</v>
      </c>
      <c r="B35" s="10" t="s">
        <v>10</v>
      </c>
      <c r="C35" s="10" t="s">
        <v>153</v>
      </c>
      <c r="D35" s="10" t="s">
        <v>154</v>
      </c>
      <c r="E35" s="10"/>
      <c r="F35" s="10" t="s">
        <v>129</v>
      </c>
      <c r="G35" s="136" t="n">
        <v>1346.4</v>
      </c>
      <c r="H35" s="162" t="n">
        <v>0</v>
      </c>
    </row>
    <row r="36" customHeight="true" ht="13.5">
      <c r="A36" s="140"/>
      <c r="C36" s="166" t="s">
        <v>131</v>
      </c>
      <c r="D36" s="142" t="s">
        <v>155</v>
      </c>
      <c r="E36" s="143"/>
      <c r="F36" s="143"/>
      <c r="G36" s="143"/>
      <c r="H36" s="165"/>
    </row>
    <row r="37">
      <c r="A37" s="9" t="s">
        <v>156</v>
      </c>
      <c r="B37" s="10" t="s">
        <v>10</v>
      </c>
      <c r="C37" s="10" t="s">
        <v>157</v>
      </c>
      <c r="D37" s="10" t="s">
        <v>158</v>
      </c>
      <c r="E37" s="10"/>
      <c r="F37" s="10" t="s">
        <v>135</v>
      </c>
      <c r="G37" s="136" t="n">
        <v>4080</v>
      </c>
      <c r="H37" s="162" t="n">
        <v>0</v>
      </c>
    </row>
    <row r="38">
      <c r="A38" s="140"/>
      <c r="D38" s="163" t="s">
        <v>586</v>
      </c>
      <c r="E38" s="163" t="s">
        <v>10</v>
      </c>
      <c r="F38" s="163"/>
      <c r="G38" s="164" t="n">
        <v>4080</v>
      </c>
      <c r="H38" s="165"/>
    </row>
    <row r="39">
      <c r="A39" s="9" t="s">
        <v>159</v>
      </c>
      <c r="B39" s="10" t="s">
        <v>10</v>
      </c>
      <c r="C39" s="10" t="s">
        <v>138</v>
      </c>
      <c r="D39" s="10" t="s">
        <v>139</v>
      </c>
      <c r="E39" s="10"/>
      <c r="F39" s="10" t="s">
        <v>129</v>
      </c>
      <c r="G39" s="136" t="n">
        <v>1958.4</v>
      </c>
      <c r="H39" s="162" t="n">
        <v>0</v>
      </c>
    </row>
    <row r="40" customHeight="true" ht="27">
      <c r="A40" s="140"/>
      <c r="C40" s="166" t="s">
        <v>131</v>
      </c>
      <c r="D40" s="142" t="s">
        <v>140</v>
      </c>
      <c r="E40" s="143"/>
      <c r="F40" s="143"/>
      <c r="G40" s="143"/>
      <c r="H40" s="165"/>
    </row>
    <row r="41">
      <c r="A41" s="9" t="s">
        <v>160</v>
      </c>
      <c r="B41" s="10" t="s">
        <v>10</v>
      </c>
      <c r="C41" s="10" t="s">
        <v>161</v>
      </c>
      <c r="D41" s="10" t="s">
        <v>162</v>
      </c>
      <c r="E41" s="10"/>
      <c r="F41" s="10" t="s">
        <v>135</v>
      </c>
      <c r="G41" s="136" t="n">
        <v>4080</v>
      </c>
      <c r="H41" s="162" t="n">
        <v>0</v>
      </c>
    </row>
    <row r="42">
      <c r="A42" s="140"/>
      <c r="D42" s="163" t="s">
        <v>586</v>
      </c>
      <c r="E42" s="163" t="s">
        <v>10</v>
      </c>
      <c r="F42" s="163"/>
      <c r="G42" s="164" t="n">
        <v>4080</v>
      </c>
      <c r="H42" s="165"/>
    </row>
    <row r="43" customHeight="true" ht="40.5">
      <c r="A43" s="140"/>
      <c r="C43" s="166" t="s">
        <v>131</v>
      </c>
      <c r="D43" s="142" t="s">
        <v>163</v>
      </c>
      <c r="E43" s="143"/>
      <c r="F43" s="143"/>
      <c r="G43" s="143"/>
      <c r="H43" s="165"/>
    </row>
    <row r="44">
      <c r="A44" s="9" t="s">
        <v>164</v>
      </c>
      <c r="B44" s="10" t="s">
        <v>10</v>
      </c>
      <c r="C44" s="10" t="s">
        <v>165</v>
      </c>
      <c r="D44" s="10" t="s">
        <v>166</v>
      </c>
      <c r="E44" s="10"/>
      <c r="F44" s="10" t="s">
        <v>129</v>
      </c>
      <c r="G44" s="136" t="n">
        <v>1795.2</v>
      </c>
      <c r="H44" s="162" t="n">
        <v>0</v>
      </c>
    </row>
    <row r="45">
      <c r="A45" s="140"/>
      <c r="D45" s="163" t="s">
        <v>587</v>
      </c>
      <c r="E45" s="163" t="s">
        <v>10</v>
      </c>
      <c r="F45" s="163"/>
      <c r="G45" s="164" t="n">
        <v>1795.2</v>
      </c>
      <c r="H45" s="165"/>
    </row>
    <row r="46">
      <c r="A46" s="9" t="s">
        <v>167</v>
      </c>
      <c r="B46" s="10" t="s">
        <v>10</v>
      </c>
      <c r="C46" s="10" t="s">
        <v>168</v>
      </c>
      <c r="D46" s="10" t="s">
        <v>169</v>
      </c>
      <c r="E46" s="10"/>
      <c r="F46" s="10" t="s">
        <v>129</v>
      </c>
      <c r="G46" s="136" t="n">
        <v>5391.985</v>
      </c>
      <c r="H46" s="162" t="n">
        <v>0</v>
      </c>
    </row>
    <row r="47" customHeight="true" ht="27">
      <c r="A47" s="140"/>
      <c r="C47" s="166" t="s">
        <v>131</v>
      </c>
      <c r="D47" s="142" t="s">
        <v>170</v>
      </c>
      <c r="E47" s="143"/>
      <c r="F47" s="143"/>
      <c r="G47" s="143"/>
      <c r="H47" s="165"/>
    </row>
    <row r="48">
      <c r="A48" s="167" t="s">
        <v>10</v>
      </c>
      <c r="B48" s="131" t="s">
        <v>10</v>
      </c>
      <c r="C48" s="131" t="s">
        <v>156</v>
      </c>
      <c r="D48" s="131" t="s">
        <v>171</v>
      </c>
      <c r="E48" s="131"/>
      <c r="F48" s="131" t="s">
        <v>10</v>
      </c>
      <c r="G48" s="112" t="s">
        <v>10</v>
      </c>
      <c r="H48" s="135" t="s">
        <v>10</v>
      </c>
    </row>
    <row r="49">
      <c r="A49" s="9" t="s">
        <v>172</v>
      </c>
      <c r="B49" s="10" t="s">
        <v>10</v>
      </c>
      <c r="C49" s="10" t="s">
        <v>173</v>
      </c>
      <c r="D49" s="10" t="s">
        <v>174</v>
      </c>
      <c r="E49" s="10"/>
      <c r="F49" s="10" t="s">
        <v>175</v>
      </c>
      <c r="G49" s="136" t="n">
        <v>1079.4</v>
      </c>
      <c r="H49" s="162" t="n">
        <v>0</v>
      </c>
    </row>
    <row r="50">
      <c r="A50" s="140"/>
      <c r="D50" s="163" t="s">
        <v>588</v>
      </c>
      <c r="E50" s="163" t="s">
        <v>589</v>
      </c>
      <c r="F50" s="163"/>
      <c r="G50" s="164" t="n">
        <v>1079.4</v>
      </c>
      <c r="H50" s="165"/>
    </row>
    <row r="51">
      <c r="A51" s="9" t="s">
        <v>177</v>
      </c>
      <c r="B51" s="10" t="s">
        <v>10</v>
      </c>
      <c r="C51" s="10" t="s">
        <v>168</v>
      </c>
      <c r="D51" s="10" t="s">
        <v>169</v>
      </c>
      <c r="E51" s="10"/>
      <c r="F51" s="10" t="s">
        <v>129</v>
      </c>
      <c r="G51" s="136" t="n">
        <v>1942.92</v>
      </c>
      <c r="H51" s="162" t="n">
        <v>0</v>
      </c>
    </row>
    <row r="52">
      <c r="A52" s="140"/>
      <c r="D52" s="163" t="s">
        <v>590</v>
      </c>
      <c r="E52" s="163" t="s">
        <v>589</v>
      </c>
      <c r="F52" s="163"/>
      <c r="G52" s="164" t="n">
        <v>1942.92</v>
      </c>
      <c r="H52" s="165"/>
    </row>
    <row r="53" customHeight="true" ht="27">
      <c r="A53" s="140"/>
      <c r="C53" s="166" t="s">
        <v>131</v>
      </c>
      <c r="D53" s="142" t="s">
        <v>170</v>
      </c>
      <c r="E53" s="143"/>
      <c r="F53" s="143"/>
      <c r="G53" s="143"/>
      <c r="H53" s="165"/>
    </row>
    <row r="54">
      <c r="A54" s="9" t="s">
        <v>178</v>
      </c>
      <c r="B54" s="10" t="s">
        <v>10</v>
      </c>
      <c r="C54" s="10" t="s">
        <v>165</v>
      </c>
      <c r="D54" s="10" t="s">
        <v>166</v>
      </c>
      <c r="E54" s="10"/>
      <c r="F54" s="10" t="s">
        <v>129</v>
      </c>
      <c r="G54" s="136" t="n">
        <v>1942.92</v>
      </c>
      <c r="H54" s="162" t="n">
        <v>0</v>
      </c>
    </row>
    <row r="55">
      <c r="A55" s="140"/>
      <c r="D55" s="163" t="s">
        <v>590</v>
      </c>
      <c r="E55" s="163" t="s">
        <v>589</v>
      </c>
      <c r="F55" s="163"/>
      <c r="G55" s="164" t="n">
        <v>1942.92</v>
      </c>
      <c r="H55" s="165"/>
    </row>
    <row r="56">
      <c r="A56" s="167" t="s">
        <v>10</v>
      </c>
      <c r="B56" s="131" t="s">
        <v>10</v>
      </c>
      <c r="C56" s="131" t="s">
        <v>159</v>
      </c>
      <c r="D56" s="131" t="s">
        <v>179</v>
      </c>
      <c r="E56" s="131"/>
      <c r="F56" s="131" t="s">
        <v>10</v>
      </c>
      <c r="G56" s="112" t="s">
        <v>10</v>
      </c>
      <c r="H56" s="135" t="s">
        <v>10</v>
      </c>
    </row>
    <row r="57">
      <c r="A57" s="9" t="s">
        <v>180</v>
      </c>
      <c r="B57" s="10" t="s">
        <v>10</v>
      </c>
      <c r="C57" s="10" t="s">
        <v>181</v>
      </c>
      <c r="D57" s="10" t="s">
        <v>182</v>
      </c>
      <c r="E57" s="10"/>
      <c r="F57" s="10" t="s">
        <v>175</v>
      </c>
      <c r="G57" s="136" t="n">
        <v>168</v>
      </c>
      <c r="H57" s="162" t="n">
        <v>0</v>
      </c>
    </row>
    <row r="58">
      <c r="A58" s="140"/>
      <c r="D58" s="163" t="s">
        <v>591</v>
      </c>
      <c r="E58" s="163" t="s">
        <v>592</v>
      </c>
      <c r="F58" s="163"/>
      <c r="G58" s="164" t="n">
        <v>128</v>
      </c>
      <c r="H58" s="165"/>
    </row>
    <row r="59">
      <c r="A59" s="9" t="s">
        <v>10</v>
      </c>
      <c r="B59" s="10" t="s">
        <v>10</v>
      </c>
      <c r="C59" s="10" t="s">
        <v>10</v>
      </c>
      <c r="D59" s="163" t="s">
        <v>593</v>
      </c>
      <c r="E59" s="163" t="s">
        <v>594</v>
      </c>
      <c r="F59" s="163"/>
      <c r="G59" s="164" t="n">
        <v>40</v>
      </c>
      <c r="H59" s="138" t="s">
        <v>10</v>
      </c>
    </row>
    <row r="60">
      <c r="A60" s="9" t="s">
        <v>184</v>
      </c>
      <c r="B60" s="10" t="s">
        <v>10</v>
      </c>
      <c r="C60" s="10" t="s">
        <v>185</v>
      </c>
      <c r="D60" s="10" t="s">
        <v>186</v>
      </c>
      <c r="E60" s="10"/>
      <c r="F60" s="10" t="s">
        <v>175</v>
      </c>
      <c r="G60" s="136" t="n">
        <v>46</v>
      </c>
      <c r="H60" s="162" t="n">
        <v>0</v>
      </c>
    </row>
    <row r="61">
      <c r="A61" s="140"/>
      <c r="D61" s="163" t="s">
        <v>595</v>
      </c>
      <c r="E61" s="163" t="s">
        <v>596</v>
      </c>
      <c r="F61" s="163"/>
      <c r="G61" s="164" t="n">
        <v>46</v>
      </c>
      <c r="H61" s="165"/>
    </row>
    <row r="62" customHeight="true" ht="54">
      <c r="A62" s="140"/>
      <c r="C62" s="166" t="s">
        <v>131</v>
      </c>
      <c r="D62" s="142" t="s">
        <v>187</v>
      </c>
      <c r="E62" s="143"/>
      <c r="F62" s="143"/>
      <c r="G62" s="143"/>
      <c r="H62" s="165"/>
    </row>
    <row r="63">
      <c r="A63" s="9" t="s">
        <v>188</v>
      </c>
      <c r="B63" s="10" t="s">
        <v>10</v>
      </c>
      <c r="C63" s="10" t="s">
        <v>165</v>
      </c>
      <c r="D63" s="10" t="s">
        <v>166</v>
      </c>
      <c r="E63" s="10"/>
      <c r="F63" s="10" t="s">
        <v>129</v>
      </c>
      <c r="G63" s="136" t="n">
        <v>82.8</v>
      </c>
      <c r="H63" s="162" t="n">
        <v>0</v>
      </c>
    </row>
    <row r="64">
      <c r="A64" s="140"/>
      <c r="D64" s="163" t="s">
        <v>597</v>
      </c>
      <c r="E64" s="163" t="s">
        <v>10</v>
      </c>
      <c r="F64" s="163"/>
      <c r="G64" s="164" t="n">
        <v>82.8</v>
      </c>
      <c r="H64" s="165"/>
    </row>
    <row r="65">
      <c r="A65" s="9" t="s">
        <v>189</v>
      </c>
      <c r="B65" s="10" t="s">
        <v>10</v>
      </c>
      <c r="C65" s="10" t="s">
        <v>168</v>
      </c>
      <c r="D65" s="10" t="s">
        <v>169</v>
      </c>
      <c r="E65" s="10"/>
      <c r="F65" s="10" t="s">
        <v>129</v>
      </c>
      <c r="G65" s="136" t="n">
        <v>82.8</v>
      </c>
      <c r="H65" s="162" t="n">
        <v>0</v>
      </c>
    </row>
    <row r="66">
      <c r="A66" s="140"/>
      <c r="D66" s="163" t="s">
        <v>597</v>
      </c>
      <c r="E66" s="163" t="s">
        <v>10</v>
      </c>
      <c r="F66" s="163"/>
      <c r="G66" s="164" t="n">
        <v>82.8</v>
      </c>
      <c r="H66" s="165"/>
    </row>
    <row r="67" customHeight="true" ht="27">
      <c r="A67" s="140"/>
      <c r="C67" s="166" t="s">
        <v>131</v>
      </c>
      <c r="D67" s="142" t="s">
        <v>170</v>
      </c>
      <c r="E67" s="143"/>
      <c r="F67" s="143"/>
      <c r="G67" s="143"/>
      <c r="H67" s="165"/>
    </row>
    <row r="68">
      <c r="A68" s="167" t="s">
        <v>10</v>
      </c>
      <c r="B68" s="131" t="s">
        <v>10</v>
      </c>
      <c r="C68" s="131" t="s">
        <v>172</v>
      </c>
      <c r="D68" s="131" t="s">
        <v>190</v>
      </c>
      <c r="E68" s="131"/>
      <c r="F68" s="131" t="s">
        <v>10</v>
      </c>
      <c r="G68" s="112" t="s">
        <v>10</v>
      </c>
      <c r="H68" s="135" t="s">
        <v>10</v>
      </c>
    </row>
    <row r="69">
      <c r="A69" s="9" t="s">
        <v>191</v>
      </c>
      <c r="B69" s="10" t="s">
        <v>10</v>
      </c>
      <c r="C69" s="10" t="s">
        <v>192</v>
      </c>
      <c r="D69" s="10" t="s">
        <v>193</v>
      </c>
      <c r="E69" s="10"/>
      <c r="F69" s="10" t="s">
        <v>175</v>
      </c>
      <c r="G69" s="136" t="n">
        <v>168</v>
      </c>
      <c r="H69" s="162" t="n">
        <v>0</v>
      </c>
    </row>
    <row r="70">
      <c r="A70" s="140"/>
      <c r="D70" s="163" t="s">
        <v>591</v>
      </c>
      <c r="E70" s="163" t="s">
        <v>592</v>
      </c>
      <c r="F70" s="163"/>
      <c r="G70" s="164" t="n">
        <v>128</v>
      </c>
      <c r="H70" s="165"/>
    </row>
    <row r="71">
      <c r="A71" s="9" t="s">
        <v>10</v>
      </c>
      <c r="B71" s="10" t="s">
        <v>10</v>
      </c>
      <c r="C71" s="10" t="s">
        <v>10</v>
      </c>
      <c r="D71" s="163" t="s">
        <v>593</v>
      </c>
      <c r="E71" s="163" t="s">
        <v>594</v>
      </c>
      <c r="F71" s="163"/>
      <c r="G71" s="164" t="n">
        <v>40</v>
      </c>
      <c r="H71" s="138" t="s">
        <v>10</v>
      </c>
    </row>
    <row r="72" customHeight="true" ht="13.5">
      <c r="A72" s="140"/>
      <c r="C72" s="166" t="s">
        <v>131</v>
      </c>
      <c r="D72" s="142" t="s">
        <v>195</v>
      </c>
      <c r="E72" s="143"/>
      <c r="F72" s="143"/>
      <c r="G72" s="143"/>
      <c r="H72" s="165"/>
    </row>
    <row r="73">
      <c r="A73" s="167" t="s">
        <v>10</v>
      </c>
      <c r="B73" s="131" t="s">
        <v>10</v>
      </c>
      <c r="C73" s="131" t="s">
        <v>177</v>
      </c>
      <c r="D73" s="131" t="s">
        <v>196</v>
      </c>
      <c r="E73" s="131"/>
      <c r="F73" s="131" t="s">
        <v>10</v>
      </c>
      <c r="G73" s="112" t="s">
        <v>10</v>
      </c>
      <c r="H73" s="135" t="s">
        <v>10</v>
      </c>
    </row>
    <row r="74">
      <c r="A74" s="9" t="s">
        <v>197</v>
      </c>
      <c r="B74" s="10" t="s">
        <v>10</v>
      </c>
      <c r="C74" s="10" t="s">
        <v>198</v>
      </c>
      <c r="D74" s="10" t="s">
        <v>199</v>
      </c>
      <c r="E74" s="10"/>
      <c r="F74" s="10" t="s">
        <v>200</v>
      </c>
      <c r="G74" s="136" t="n">
        <v>1</v>
      </c>
      <c r="H74" s="162" t="n">
        <v>0</v>
      </c>
    </row>
    <row r="75">
      <c r="A75" s="140"/>
      <c r="D75" s="163" t="s">
        <v>112</v>
      </c>
      <c r="E75" s="163" t="s">
        <v>10</v>
      </c>
      <c r="F75" s="163"/>
      <c r="G75" s="164" t="n">
        <v>1</v>
      </c>
      <c r="H75" s="165"/>
    </row>
    <row r="76">
      <c r="A76" s="9" t="s">
        <v>202</v>
      </c>
      <c r="B76" s="10" t="s">
        <v>10</v>
      </c>
      <c r="C76" s="10" t="s">
        <v>203</v>
      </c>
      <c r="D76" s="10" t="s">
        <v>204</v>
      </c>
      <c r="E76" s="10"/>
      <c r="F76" s="10" t="s">
        <v>200</v>
      </c>
      <c r="G76" s="136" t="n">
        <v>1</v>
      </c>
      <c r="H76" s="162" t="n">
        <v>0</v>
      </c>
    </row>
    <row r="77">
      <c r="A77" s="140"/>
      <c r="D77" s="163" t="s">
        <v>112</v>
      </c>
      <c r="E77" s="163" t="s">
        <v>10</v>
      </c>
      <c r="F77" s="163"/>
      <c r="G77" s="164" t="n">
        <v>1</v>
      </c>
      <c r="H77" s="165"/>
    </row>
    <row r="78" customHeight="true" ht="13.5">
      <c r="A78" s="140"/>
      <c r="C78" s="166" t="s">
        <v>131</v>
      </c>
      <c r="D78" s="142" t="s">
        <v>205</v>
      </c>
      <c r="E78" s="143"/>
      <c r="F78" s="143"/>
      <c r="G78" s="143"/>
      <c r="H78" s="165"/>
    </row>
    <row r="79">
      <c r="A79" s="9" t="s">
        <v>206</v>
      </c>
      <c r="B79" s="10" t="s">
        <v>10</v>
      </c>
      <c r="C79" s="10" t="s">
        <v>207</v>
      </c>
      <c r="D79" s="10" t="s">
        <v>208</v>
      </c>
      <c r="E79" s="10"/>
      <c r="F79" s="10" t="s">
        <v>135</v>
      </c>
      <c r="G79" s="136" t="n">
        <v>850</v>
      </c>
      <c r="H79" s="162" t="n">
        <v>0</v>
      </c>
    </row>
    <row r="80">
      <c r="A80" s="140"/>
      <c r="D80" s="163" t="s">
        <v>598</v>
      </c>
      <c r="E80" s="163" t="s">
        <v>10</v>
      </c>
      <c r="F80" s="163"/>
      <c r="G80" s="164" t="n">
        <v>850</v>
      </c>
      <c r="H80" s="165"/>
    </row>
    <row r="81">
      <c r="A81" s="9" t="s">
        <v>211</v>
      </c>
      <c r="B81" s="10" t="s">
        <v>10</v>
      </c>
      <c r="C81" s="10" t="s">
        <v>212</v>
      </c>
      <c r="D81" s="10" t="s">
        <v>213</v>
      </c>
      <c r="E81" s="10"/>
      <c r="F81" s="10" t="s">
        <v>135</v>
      </c>
      <c r="G81" s="136" t="n">
        <v>850</v>
      </c>
      <c r="H81" s="162" t="n">
        <v>0</v>
      </c>
    </row>
    <row r="82">
      <c r="A82" s="140"/>
      <c r="D82" s="163" t="s">
        <v>598</v>
      </c>
      <c r="E82" s="163" t="s">
        <v>10</v>
      </c>
      <c r="F82" s="163"/>
      <c r="G82" s="164" t="n">
        <v>850</v>
      </c>
      <c r="H82" s="165"/>
    </row>
    <row r="83">
      <c r="A83" s="9" t="s">
        <v>214</v>
      </c>
      <c r="B83" s="10" t="s">
        <v>10</v>
      </c>
      <c r="C83" s="10" t="s">
        <v>215</v>
      </c>
      <c r="D83" s="10" t="s">
        <v>216</v>
      </c>
      <c r="E83" s="10"/>
      <c r="F83" s="10" t="s">
        <v>175</v>
      </c>
      <c r="G83" s="136" t="n">
        <v>52</v>
      </c>
      <c r="H83" s="162" t="n">
        <v>0</v>
      </c>
    </row>
    <row r="84">
      <c r="A84" s="140"/>
      <c r="D84" s="163" t="s">
        <v>599</v>
      </c>
      <c r="E84" s="163" t="s">
        <v>600</v>
      </c>
      <c r="F84" s="163"/>
      <c r="G84" s="164" t="n">
        <v>51</v>
      </c>
      <c r="H84" s="165"/>
    </row>
    <row r="85">
      <c r="A85" s="9" t="s">
        <v>10</v>
      </c>
      <c r="B85" s="10" t="s">
        <v>10</v>
      </c>
      <c r="C85" s="10" t="s">
        <v>10</v>
      </c>
      <c r="D85" s="163" t="s">
        <v>112</v>
      </c>
      <c r="E85" s="163" t="s">
        <v>601</v>
      </c>
      <c r="F85" s="163"/>
      <c r="G85" s="164" t="n">
        <v>1</v>
      </c>
      <c r="H85" s="138" t="s">
        <v>10</v>
      </c>
    </row>
    <row r="86">
      <c r="A86" s="167" t="s">
        <v>10</v>
      </c>
      <c r="B86" s="131" t="s">
        <v>10</v>
      </c>
      <c r="C86" s="131" t="s">
        <v>184</v>
      </c>
      <c r="D86" s="131" t="s">
        <v>217</v>
      </c>
      <c r="E86" s="131"/>
      <c r="F86" s="131" t="s">
        <v>10</v>
      </c>
      <c r="G86" s="112" t="s">
        <v>10</v>
      </c>
      <c r="H86" s="135" t="s">
        <v>10</v>
      </c>
    </row>
    <row r="87">
      <c r="A87" s="9" t="s">
        <v>218</v>
      </c>
      <c r="B87" s="10" t="s">
        <v>10</v>
      </c>
      <c r="C87" s="10" t="s">
        <v>219</v>
      </c>
      <c r="D87" s="10" t="s">
        <v>220</v>
      </c>
      <c r="E87" s="10"/>
      <c r="F87" s="10" t="s">
        <v>115</v>
      </c>
      <c r="G87" s="136" t="n">
        <v>460</v>
      </c>
      <c r="H87" s="162" t="n">
        <v>0</v>
      </c>
    </row>
    <row r="88">
      <c r="A88" s="140"/>
      <c r="D88" s="163" t="s">
        <v>602</v>
      </c>
      <c r="E88" s="163" t="s">
        <v>10</v>
      </c>
      <c r="F88" s="163"/>
      <c r="G88" s="164" t="n">
        <v>460</v>
      </c>
      <c r="H88" s="165"/>
    </row>
    <row r="89">
      <c r="A89" s="9" t="s">
        <v>224</v>
      </c>
      <c r="B89" s="10" t="s">
        <v>10</v>
      </c>
      <c r="C89" s="10" t="s">
        <v>225</v>
      </c>
      <c r="D89" s="10" t="s">
        <v>226</v>
      </c>
      <c r="E89" s="10"/>
      <c r="F89" s="10" t="s">
        <v>175</v>
      </c>
      <c r="G89" s="136" t="n">
        <v>18.4</v>
      </c>
      <c r="H89" s="162" t="n">
        <v>0</v>
      </c>
    </row>
    <row r="90">
      <c r="A90" s="140"/>
      <c r="D90" s="163" t="s">
        <v>603</v>
      </c>
      <c r="E90" s="163" t="s">
        <v>596</v>
      </c>
      <c r="F90" s="163"/>
      <c r="G90" s="164" t="n">
        <v>18.4</v>
      </c>
      <c r="H90" s="165"/>
    </row>
    <row r="91">
      <c r="A91" s="9" t="s">
        <v>227</v>
      </c>
      <c r="B91" s="10" t="s">
        <v>10</v>
      </c>
      <c r="C91" s="10" t="s">
        <v>228</v>
      </c>
      <c r="D91" s="10" t="s">
        <v>229</v>
      </c>
      <c r="E91" s="10"/>
      <c r="F91" s="10" t="s">
        <v>135</v>
      </c>
      <c r="G91" s="136" t="n">
        <v>644</v>
      </c>
      <c r="H91" s="162" t="n">
        <v>0</v>
      </c>
    </row>
    <row r="92">
      <c r="A92" s="140"/>
      <c r="D92" s="163" t="s">
        <v>604</v>
      </c>
      <c r="E92" s="163" t="s">
        <v>10</v>
      </c>
      <c r="F92" s="163"/>
      <c r="G92" s="164" t="n">
        <v>644</v>
      </c>
      <c r="H92" s="165"/>
    </row>
    <row r="93">
      <c r="A93" s="9" t="s">
        <v>230</v>
      </c>
      <c r="B93" s="10" t="s">
        <v>10</v>
      </c>
      <c r="C93" s="10" t="s">
        <v>231</v>
      </c>
      <c r="D93" s="10" t="s">
        <v>232</v>
      </c>
      <c r="E93" s="10"/>
      <c r="F93" s="10" t="s">
        <v>135</v>
      </c>
      <c r="G93" s="136" t="n">
        <v>708.4</v>
      </c>
      <c r="H93" s="162" t="n">
        <v>0</v>
      </c>
    </row>
    <row r="94">
      <c r="A94" s="140"/>
      <c r="D94" s="163" t="s">
        <v>605</v>
      </c>
      <c r="E94" s="163" t="s">
        <v>10</v>
      </c>
      <c r="F94" s="163"/>
      <c r="G94" s="164" t="n">
        <v>644</v>
      </c>
      <c r="H94" s="165"/>
    </row>
    <row r="95">
      <c r="A95" s="9" t="s">
        <v>10</v>
      </c>
      <c r="B95" s="10" t="s">
        <v>10</v>
      </c>
      <c r="C95" s="10" t="s">
        <v>10</v>
      </c>
      <c r="D95" s="163" t="s">
        <v>606</v>
      </c>
      <c r="E95" s="163" t="s">
        <v>10</v>
      </c>
      <c r="F95" s="163"/>
      <c r="G95" s="164" t="n">
        <v>64.4</v>
      </c>
      <c r="H95" s="138" t="s">
        <v>10</v>
      </c>
    </row>
    <row r="96" customHeight="true" ht="81">
      <c r="A96" s="140"/>
      <c r="C96" s="166" t="s">
        <v>131</v>
      </c>
      <c r="D96" s="142" t="s">
        <v>607</v>
      </c>
      <c r="E96" s="143"/>
      <c r="F96" s="143"/>
      <c r="G96" s="143"/>
      <c r="H96" s="165"/>
    </row>
    <row r="97">
      <c r="A97" s="167" t="s">
        <v>10</v>
      </c>
      <c r="B97" s="131" t="s">
        <v>10</v>
      </c>
      <c r="C97" s="131" t="s">
        <v>206</v>
      </c>
      <c r="D97" s="131" t="s">
        <v>234</v>
      </c>
      <c r="E97" s="131"/>
      <c r="F97" s="131" t="s">
        <v>10</v>
      </c>
      <c r="G97" s="112" t="s">
        <v>10</v>
      </c>
      <c r="H97" s="135" t="s">
        <v>10</v>
      </c>
    </row>
    <row r="98">
      <c r="A98" s="9" t="s">
        <v>235</v>
      </c>
      <c r="B98" s="10" t="s">
        <v>10</v>
      </c>
      <c r="C98" s="10" t="s">
        <v>236</v>
      </c>
      <c r="D98" s="10" t="s">
        <v>237</v>
      </c>
      <c r="E98" s="10"/>
      <c r="F98" s="10" t="s">
        <v>175</v>
      </c>
      <c r="G98" s="136" t="n">
        <v>6.5</v>
      </c>
      <c r="H98" s="162" t="n">
        <v>0</v>
      </c>
    </row>
    <row r="99">
      <c r="A99" s="140"/>
      <c r="D99" s="163" t="s">
        <v>608</v>
      </c>
      <c r="E99" s="163" t="s">
        <v>609</v>
      </c>
      <c r="F99" s="163"/>
      <c r="G99" s="164" t="n">
        <v>6.5</v>
      </c>
      <c r="H99" s="165"/>
    </row>
    <row r="100" customHeight="true" ht="27">
      <c r="A100" s="140"/>
      <c r="C100" s="166" t="s">
        <v>131</v>
      </c>
      <c r="D100" s="142" t="s">
        <v>239</v>
      </c>
      <c r="E100" s="143"/>
      <c r="F100" s="143"/>
      <c r="G100" s="143"/>
      <c r="H100" s="165"/>
    </row>
    <row r="101">
      <c r="A101" s="9" t="s">
        <v>240</v>
      </c>
      <c r="B101" s="10" t="s">
        <v>10</v>
      </c>
      <c r="C101" s="10" t="s">
        <v>241</v>
      </c>
      <c r="D101" s="10" t="s">
        <v>242</v>
      </c>
      <c r="E101" s="10"/>
      <c r="F101" s="10" t="s">
        <v>135</v>
      </c>
      <c r="G101" s="136" t="n">
        <v>7.5</v>
      </c>
      <c r="H101" s="162" t="n">
        <v>0</v>
      </c>
    </row>
    <row r="102">
      <c r="A102" s="140"/>
      <c r="D102" s="163" t="s">
        <v>610</v>
      </c>
      <c r="E102" s="163" t="s">
        <v>10</v>
      </c>
      <c r="F102" s="163"/>
      <c r="G102" s="164" t="n">
        <v>7.5</v>
      </c>
      <c r="H102" s="165"/>
    </row>
    <row r="103">
      <c r="A103" s="9" t="s">
        <v>244</v>
      </c>
      <c r="B103" s="10" t="s">
        <v>10</v>
      </c>
      <c r="C103" s="10" t="s">
        <v>245</v>
      </c>
      <c r="D103" s="10" t="s">
        <v>246</v>
      </c>
      <c r="E103" s="10"/>
      <c r="F103" s="10" t="s">
        <v>135</v>
      </c>
      <c r="G103" s="136" t="n">
        <v>7.5</v>
      </c>
      <c r="H103" s="162" t="n">
        <v>0</v>
      </c>
    </row>
    <row r="104">
      <c r="A104" s="140"/>
      <c r="D104" s="163" t="s">
        <v>610</v>
      </c>
      <c r="E104" s="163" t="s">
        <v>10</v>
      </c>
      <c r="F104" s="163"/>
      <c r="G104" s="164" t="n">
        <v>7.5</v>
      </c>
      <c r="H104" s="165"/>
    </row>
    <row r="105">
      <c r="A105" s="9" t="s">
        <v>247</v>
      </c>
      <c r="B105" s="10" t="s">
        <v>10</v>
      </c>
      <c r="C105" s="10" t="s">
        <v>248</v>
      </c>
      <c r="D105" s="10" t="s">
        <v>249</v>
      </c>
      <c r="E105" s="10"/>
      <c r="F105" s="10" t="s">
        <v>135</v>
      </c>
      <c r="G105" s="136" t="n">
        <v>26</v>
      </c>
      <c r="H105" s="162" t="n">
        <v>0</v>
      </c>
    </row>
    <row r="106">
      <c r="A106" s="140"/>
      <c r="D106" s="163" t="s">
        <v>611</v>
      </c>
      <c r="E106" s="163" t="s">
        <v>10</v>
      </c>
      <c r="F106" s="163"/>
      <c r="G106" s="164" t="n">
        <v>26</v>
      </c>
      <c r="H106" s="165"/>
    </row>
    <row r="107">
      <c r="A107" s="9" t="s">
        <v>250</v>
      </c>
      <c r="B107" s="10" t="s">
        <v>10</v>
      </c>
      <c r="C107" s="10" t="s">
        <v>251</v>
      </c>
      <c r="D107" s="10" t="s">
        <v>252</v>
      </c>
      <c r="E107" s="10"/>
      <c r="F107" s="10" t="s">
        <v>135</v>
      </c>
      <c r="G107" s="136" t="n">
        <v>26</v>
      </c>
      <c r="H107" s="162" t="n">
        <v>0</v>
      </c>
    </row>
    <row r="108">
      <c r="A108" s="140"/>
      <c r="D108" s="163" t="s">
        <v>611</v>
      </c>
      <c r="E108" s="163" t="s">
        <v>10</v>
      </c>
      <c r="F108" s="163"/>
      <c r="G108" s="164" t="n">
        <v>26</v>
      </c>
      <c r="H108" s="165"/>
    </row>
    <row r="109">
      <c r="A109" s="9" t="s">
        <v>253</v>
      </c>
      <c r="B109" s="10" t="s">
        <v>10</v>
      </c>
      <c r="C109" s="10" t="s">
        <v>254</v>
      </c>
      <c r="D109" s="10" t="s">
        <v>255</v>
      </c>
      <c r="E109" s="10"/>
      <c r="F109" s="10" t="s">
        <v>129</v>
      </c>
      <c r="G109" s="136" t="n">
        <v>1.10822</v>
      </c>
      <c r="H109" s="162" t="n">
        <v>0</v>
      </c>
    </row>
    <row r="110">
      <c r="A110" s="140"/>
      <c r="D110" s="163" t="s">
        <v>612</v>
      </c>
      <c r="E110" s="163" t="s">
        <v>613</v>
      </c>
      <c r="F110" s="163"/>
      <c r="G110" s="164" t="n">
        <v>1.10822</v>
      </c>
      <c r="H110" s="165"/>
    </row>
    <row r="111">
      <c r="A111" s="9" t="s">
        <v>256</v>
      </c>
      <c r="B111" s="10" t="s">
        <v>10</v>
      </c>
      <c r="C111" s="10" t="s">
        <v>257</v>
      </c>
      <c r="D111" s="10" t="s">
        <v>258</v>
      </c>
      <c r="E111" s="10"/>
      <c r="F111" s="10" t="s">
        <v>135</v>
      </c>
      <c r="G111" s="136" t="n">
        <v>33.5</v>
      </c>
      <c r="H111" s="162" t="n">
        <v>0</v>
      </c>
    </row>
    <row r="112">
      <c r="A112" s="140"/>
      <c r="D112" s="163" t="s">
        <v>614</v>
      </c>
      <c r="E112" s="163" t="s">
        <v>10</v>
      </c>
      <c r="F112" s="163"/>
      <c r="G112" s="164" t="n">
        <v>33.5</v>
      </c>
      <c r="H112" s="165"/>
    </row>
    <row r="113" customHeight="true" ht="13.5">
      <c r="A113" s="140"/>
      <c r="C113" s="166" t="s">
        <v>131</v>
      </c>
      <c r="D113" s="142" t="s">
        <v>260</v>
      </c>
      <c r="E113" s="143"/>
      <c r="F113" s="143"/>
      <c r="G113" s="143"/>
      <c r="H113" s="165"/>
    </row>
    <row r="114">
      <c r="A114" s="9" t="s">
        <v>261</v>
      </c>
      <c r="B114" s="10" t="s">
        <v>10</v>
      </c>
      <c r="C114" s="10" t="s">
        <v>262</v>
      </c>
      <c r="D114" s="10" t="s">
        <v>263</v>
      </c>
      <c r="E114" s="10"/>
      <c r="F114" s="10" t="s">
        <v>135</v>
      </c>
      <c r="G114" s="136" t="n">
        <v>26</v>
      </c>
      <c r="H114" s="162" t="n">
        <v>0</v>
      </c>
    </row>
    <row r="115">
      <c r="A115" s="140"/>
      <c r="D115" s="163" t="s">
        <v>611</v>
      </c>
      <c r="E115" s="163" t="s">
        <v>615</v>
      </c>
      <c r="F115" s="163"/>
      <c r="G115" s="164" t="n">
        <v>26</v>
      </c>
      <c r="H115" s="165"/>
    </row>
    <row r="116">
      <c r="A116" s="167" t="s">
        <v>10</v>
      </c>
      <c r="B116" s="131" t="s">
        <v>10</v>
      </c>
      <c r="C116" s="131" t="s">
        <v>235</v>
      </c>
      <c r="D116" s="131" t="s">
        <v>264</v>
      </c>
      <c r="E116" s="131"/>
      <c r="F116" s="131" t="s">
        <v>10</v>
      </c>
      <c r="G116" s="112" t="s">
        <v>10</v>
      </c>
      <c r="H116" s="135" t="s">
        <v>10</v>
      </c>
    </row>
    <row r="117">
      <c r="A117" s="9" t="s">
        <v>265</v>
      </c>
      <c r="B117" s="10" t="s">
        <v>10</v>
      </c>
      <c r="C117" s="10" t="s">
        <v>266</v>
      </c>
      <c r="D117" s="10" t="s">
        <v>267</v>
      </c>
      <c r="E117" s="10"/>
      <c r="F117" s="10" t="s">
        <v>115</v>
      </c>
      <c r="G117" s="136" t="n">
        <v>24</v>
      </c>
      <c r="H117" s="162" t="n">
        <v>0</v>
      </c>
    </row>
    <row r="118">
      <c r="A118" s="140"/>
      <c r="D118" s="163" t="s">
        <v>191</v>
      </c>
      <c r="E118" s="163" t="s">
        <v>10</v>
      </c>
      <c r="F118" s="163"/>
      <c r="G118" s="164" t="n">
        <v>24</v>
      </c>
      <c r="H118" s="165"/>
    </row>
    <row r="119" customHeight="true" ht="27">
      <c r="A119" s="140"/>
      <c r="C119" s="166" t="s">
        <v>131</v>
      </c>
      <c r="D119" s="142" t="s">
        <v>270</v>
      </c>
      <c r="E119" s="143"/>
      <c r="F119" s="143"/>
      <c r="G119" s="143"/>
      <c r="H119" s="165"/>
    </row>
    <row r="120">
      <c r="A120" s="9" t="s">
        <v>271</v>
      </c>
      <c r="B120" s="10" t="s">
        <v>10</v>
      </c>
      <c r="C120" s="10" t="s">
        <v>272</v>
      </c>
      <c r="D120" s="10" t="s">
        <v>273</v>
      </c>
      <c r="E120" s="10"/>
      <c r="F120" s="10" t="s">
        <v>115</v>
      </c>
      <c r="G120" s="136" t="n">
        <v>24</v>
      </c>
      <c r="H120" s="162" t="n">
        <v>0</v>
      </c>
    </row>
    <row r="121">
      <c r="A121" s="140"/>
      <c r="D121" s="163" t="s">
        <v>191</v>
      </c>
      <c r="E121" s="163" t="s">
        <v>10</v>
      </c>
      <c r="F121" s="163"/>
      <c r="G121" s="164" t="n">
        <v>24</v>
      </c>
      <c r="H121" s="165"/>
    </row>
    <row r="122">
      <c r="A122" s="9" t="s">
        <v>274</v>
      </c>
      <c r="B122" s="10" t="s">
        <v>10</v>
      </c>
      <c r="C122" s="10" t="s">
        <v>275</v>
      </c>
      <c r="D122" s="10" t="s">
        <v>276</v>
      </c>
      <c r="E122" s="10"/>
      <c r="F122" s="10" t="s">
        <v>175</v>
      </c>
      <c r="G122" s="136" t="n">
        <v>2</v>
      </c>
      <c r="H122" s="162" t="n">
        <v>0</v>
      </c>
    </row>
    <row r="123">
      <c r="A123" s="140"/>
      <c r="D123" s="163" t="s">
        <v>616</v>
      </c>
      <c r="E123" s="163" t="s">
        <v>617</v>
      </c>
      <c r="F123" s="163"/>
      <c r="G123" s="164" t="n">
        <v>2</v>
      </c>
      <c r="H123" s="165"/>
    </row>
    <row r="124" customHeight="true" ht="54">
      <c r="A124" s="140"/>
      <c r="C124" s="166" t="s">
        <v>131</v>
      </c>
      <c r="D124" s="142" t="s">
        <v>277</v>
      </c>
      <c r="E124" s="143"/>
      <c r="F124" s="143"/>
      <c r="G124" s="143"/>
      <c r="H124" s="165"/>
    </row>
    <row r="125">
      <c r="A125" s="9" t="s">
        <v>278</v>
      </c>
      <c r="B125" s="10" t="s">
        <v>10</v>
      </c>
      <c r="C125" s="10" t="s">
        <v>279</v>
      </c>
      <c r="D125" s="10" t="s">
        <v>280</v>
      </c>
      <c r="E125" s="10"/>
      <c r="F125" s="10" t="s">
        <v>175</v>
      </c>
      <c r="G125" s="136" t="n">
        <v>2</v>
      </c>
      <c r="H125" s="162" t="n">
        <v>0</v>
      </c>
    </row>
    <row r="126">
      <c r="A126" s="140"/>
      <c r="D126" s="163" t="s">
        <v>616</v>
      </c>
      <c r="E126" s="163" t="s">
        <v>617</v>
      </c>
      <c r="F126" s="163"/>
      <c r="G126" s="164" t="n">
        <v>2</v>
      </c>
      <c r="H126" s="165"/>
    </row>
    <row r="127">
      <c r="A127" s="9" t="s">
        <v>282</v>
      </c>
      <c r="B127" s="10" t="s">
        <v>10</v>
      </c>
      <c r="C127" s="10" t="s">
        <v>165</v>
      </c>
      <c r="D127" s="10" t="s">
        <v>166</v>
      </c>
      <c r="E127" s="10"/>
      <c r="F127" s="10" t="s">
        <v>129</v>
      </c>
      <c r="G127" s="136" t="n">
        <v>3.6</v>
      </c>
      <c r="H127" s="162" t="n">
        <v>0</v>
      </c>
    </row>
    <row r="128">
      <c r="A128" s="140"/>
      <c r="D128" s="163" t="s">
        <v>618</v>
      </c>
      <c r="E128" s="163" t="s">
        <v>617</v>
      </c>
      <c r="F128" s="163"/>
      <c r="G128" s="164" t="n">
        <v>3.6</v>
      </c>
      <c r="H128" s="165"/>
    </row>
    <row r="129">
      <c r="A129" s="9" t="s">
        <v>283</v>
      </c>
      <c r="B129" s="10" t="s">
        <v>10</v>
      </c>
      <c r="C129" s="10" t="s">
        <v>168</v>
      </c>
      <c r="D129" s="10" t="s">
        <v>169</v>
      </c>
      <c r="E129" s="10"/>
      <c r="F129" s="10" t="s">
        <v>129</v>
      </c>
      <c r="G129" s="136" t="n">
        <v>3.6</v>
      </c>
      <c r="H129" s="162" t="n">
        <v>0</v>
      </c>
    </row>
    <row r="130">
      <c r="A130" s="140"/>
      <c r="D130" s="163" t="s">
        <v>618</v>
      </c>
      <c r="E130" s="163" t="s">
        <v>617</v>
      </c>
      <c r="F130" s="163"/>
      <c r="G130" s="164" t="n">
        <v>3.6</v>
      </c>
      <c r="H130" s="165"/>
    </row>
    <row r="131" customHeight="true" ht="27">
      <c r="A131" s="140"/>
      <c r="C131" s="166" t="s">
        <v>131</v>
      </c>
      <c r="D131" s="142" t="s">
        <v>170</v>
      </c>
      <c r="E131" s="143"/>
      <c r="F131" s="143"/>
      <c r="G131" s="143"/>
      <c r="H131" s="165"/>
    </row>
    <row r="132">
      <c r="A132" s="167" t="s">
        <v>10</v>
      </c>
      <c r="B132" s="131" t="s">
        <v>10</v>
      </c>
      <c r="C132" s="131" t="s">
        <v>284</v>
      </c>
      <c r="D132" s="131" t="s">
        <v>285</v>
      </c>
      <c r="E132" s="131"/>
      <c r="F132" s="131" t="s">
        <v>10</v>
      </c>
      <c r="G132" s="112" t="s">
        <v>10</v>
      </c>
      <c r="H132" s="135" t="s">
        <v>10</v>
      </c>
    </row>
    <row r="133">
      <c r="A133" s="9" t="s">
        <v>286</v>
      </c>
      <c r="B133" s="10" t="s">
        <v>10</v>
      </c>
      <c r="C133" s="10" t="s">
        <v>287</v>
      </c>
      <c r="D133" s="10" t="s">
        <v>288</v>
      </c>
      <c r="E133" s="10"/>
      <c r="F133" s="10" t="s">
        <v>135</v>
      </c>
      <c r="G133" s="136" t="n">
        <v>2071</v>
      </c>
      <c r="H133" s="162" t="n">
        <v>0</v>
      </c>
    </row>
    <row r="134">
      <c r="A134" s="140"/>
      <c r="D134" s="163" t="s">
        <v>619</v>
      </c>
      <c r="E134" s="163" t="s">
        <v>620</v>
      </c>
      <c r="F134" s="163"/>
      <c r="G134" s="164" t="n">
        <v>2071</v>
      </c>
      <c r="H134" s="165"/>
    </row>
    <row r="135">
      <c r="A135" s="9" t="s">
        <v>291</v>
      </c>
      <c r="B135" s="10" t="s">
        <v>10</v>
      </c>
      <c r="C135" s="10" t="s">
        <v>292</v>
      </c>
      <c r="D135" s="10" t="s">
        <v>293</v>
      </c>
      <c r="E135" s="10"/>
      <c r="F135" s="10" t="s">
        <v>135</v>
      </c>
      <c r="G135" s="136" t="n">
        <v>2301</v>
      </c>
      <c r="H135" s="162" t="n">
        <v>0</v>
      </c>
    </row>
    <row r="136">
      <c r="A136" s="140"/>
      <c r="D136" s="163" t="s">
        <v>621</v>
      </c>
      <c r="E136" s="163" t="s">
        <v>622</v>
      </c>
      <c r="F136" s="163"/>
      <c r="G136" s="164" t="n">
        <v>2301</v>
      </c>
      <c r="H136" s="165"/>
    </row>
    <row r="137">
      <c r="A137" s="9" t="s">
        <v>295</v>
      </c>
      <c r="B137" s="10" t="s">
        <v>10</v>
      </c>
      <c r="C137" s="10" t="s">
        <v>296</v>
      </c>
      <c r="D137" s="10" t="s">
        <v>297</v>
      </c>
      <c r="E137" s="10"/>
      <c r="F137" s="10" t="s">
        <v>135</v>
      </c>
      <c r="G137" s="136" t="n">
        <v>2301</v>
      </c>
      <c r="H137" s="162" t="n">
        <v>0</v>
      </c>
    </row>
    <row r="138">
      <c r="A138" s="140"/>
      <c r="D138" s="163" t="s">
        <v>621</v>
      </c>
      <c r="E138" s="163" t="s">
        <v>622</v>
      </c>
      <c r="F138" s="163"/>
      <c r="G138" s="164" t="n">
        <v>2301</v>
      </c>
      <c r="H138" s="165"/>
    </row>
    <row r="139">
      <c r="A139" s="9" t="s">
        <v>298</v>
      </c>
      <c r="B139" s="10" t="s">
        <v>10</v>
      </c>
      <c r="C139" s="10" t="s">
        <v>299</v>
      </c>
      <c r="D139" s="10" t="s">
        <v>300</v>
      </c>
      <c r="E139" s="10"/>
      <c r="F139" s="10" t="s">
        <v>135</v>
      </c>
      <c r="G139" s="136" t="n">
        <v>1511</v>
      </c>
      <c r="H139" s="162" t="n">
        <v>0</v>
      </c>
    </row>
    <row r="140">
      <c r="A140" s="140"/>
      <c r="D140" s="163" t="s">
        <v>623</v>
      </c>
      <c r="E140" s="163" t="s">
        <v>624</v>
      </c>
      <c r="F140" s="163"/>
      <c r="G140" s="164" t="n">
        <v>598</v>
      </c>
      <c r="H140" s="165"/>
    </row>
    <row r="141">
      <c r="A141" s="9" t="s">
        <v>10</v>
      </c>
      <c r="B141" s="10" t="s">
        <v>10</v>
      </c>
      <c r="C141" s="10" t="s">
        <v>10</v>
      </c>
      <c r="D141" s="163" t="s">
        <v>625</v>
      </c>
      <c r="E141" s="163" t="s">
        <v>626</v>
      </c>
      <c r="F141" s="163"/>
      <c r="G141" s="164" t="n">
        <v>913</v>
      </c>
      <c r="H141" s="138" t="s">
        <v>10</v>
      </c>
    </row>
    <row r="142">
      <c r="A142" s="9" t="s">
        <v>301</v>
      </c>
      <c r="B142" s="10" t="s">
        <v>10</v>
      </c>
      <c r="C142" s="10" t="s">
        <v>302</v>
      </c>
      <c r="D142" s="10" t="s">
        <v>303</v>
      </c>
      <c r="E142" s="10"/>
      <c r="F142" s="10" t="s">
        <v>135</v>
      </c>
      <c r="G142" s="136" t="n">
        <v>16</v>
      </c>
      <c r="H142" s="162" t="n">
        <v>0</v>
      </c>
    </row>
    <row r="143">
      <c r="A143" s="140"/>
      <c r="D143" s="163" t="s">
        <v>167</v>
      </c>
      <c r="E143" s="163" t="s">
        <v>627</v>
      </c>
      <c r="F143" s="163"/>
      <c r="G143" s="164" t="n">
        <v>16</v>
      </c>
      <c r="H143" s="165"/>
    </row>
    <row r="144">
      <c r="A144" s="9" t="s">
        <v>304</v>
      </c>
      <c r="B144" s="10" t="s">
        <v>10</v>
      </c>
      <c r="C144" s="10" t="s">
        <v>305</v>
      </c>
      <c r="D144" s="10" t="s">
        <v>306</v>
      </c>
      <c r="E144" s="10"/>
      <c r="F144" s="10" t="s">
        <v>135</v>
      </c>
      <c r="G144" s="136" t="n">
        <v>16</v>
      </c>
      <c r="H144" s="162" t="n">
        <v>0</v>
      </c>
    </row>
    <row r="145">
      <c r="A145" s="140"/>
      <c r="D145" s="163" t="s">
        <v>167</v>
      </c>
      <c r="E145" s="163" t="s">
        <v>628</v>
      </c>
      <c r="F145" s="163"/>
      <c r="G145" s="164" t="n">
        <v>16</v>
      </c>
      <c r="H145" s="165"/>
    </row>
    <row r="146">
      <c r="A146" s="9" t="s">
        <v>307</v>
      </c>
      <c r="B146" s="10" t="s">
        <v>10</v>
      </c>
      <c r="C146" s="10" t="s">
        <v>308</v>
      </c>
      <c r="D146" s="10" t="s">
        <v>309</v>
      </c>
      <c r="E146" s="10"/>
      <c r="F146" s="10" t="s">
        <v>135</v>
      </c>
      <c r="G146" s="136" t="n">
        <v>3598</v>
      </c>
      <c r="H146" s="162" t="n">
        <v>0</v>
      </c>
    </row>
    <row r="147">
      <c r="A147" s="140"/>
      <c r="D147" s="163" t="s">
        <v>629</v>
      </c>
      <c r="E147" s="163" t="s">
        <v>589</v>
      </c>
      <c r="F147" s="163"/>
      <c r="G147" s="164" t="n">
        <v>3598</v>
      </c>
      <c r="H147" s="165"/>
    </row>
    <row r="148">
      <c r="A148" s="167" t="s">
        <v>10</v>
      </c>
      <c r="B148" s="131" t="s">
        <v>10</v>
      </c>
      <c r="C148" s="131" t="s">
        <v>310</v>
      </c>
      <c r="D148" s="131" t="s">
        <v>311</v>
      </c>
      <c r="E148" s="131"/>
      <c r="F148" s="131" t="s">
        <v>10</v>
      </c>
      <c r="G148" s="112" t="s">
        <v>10</v>
      </c>
      <c r="H148" s="135" t="s">
        <v>10</v>
      </c>
    </row>
    <row r="149">
      <c r="A149" s="9" t="s">
        <v>312</v>
      </c>
      <c r="B149" s="10" t="s">
        <v>10</v>
      </c>
      <c r="C149" s="10" t="s">
        <v>313</v>
      </c>
      <c r="D149" s="10" t="s">
        <v>314</v>
      </c>
      <c r="E149" s="10"/>
      <c r="F149" s="10" t="s">
        <v>135</v>
      </c>
      <c r="G149" s="136" t="n">
        <v>2071</v>
      </c>
      <c r="H149" s="162" t="n">
        <v>0</v>
      </c>
    </row>
    <row r="150">
      <c r="A150" s="140"/>
      <c r="D150" s="163" t="s">
        <v>619</v>
      </c>
      <c r="E150" s="163" t="s">
        <v>620</v>
      </c>
      <c r="F150" s="163"/>
      <c r="G150" s="164" t="n">
        <v>2071</v>
      </c>
      <c r="H150" s="165"/>
    </row>
    <row r="151">
      <c r="A151" s="9" t="s">
        <v>284</v>
      </c>
      <c r="B151" s="10" t="s">
        <v>10</v>
      </c>
      <c r="C151" s="10" t="s">
        <v>316</v>
      </c>
      <c r="D151" s="10" t="s">
        <v>317</v>
      </c>
      <c r="E151" s="10"/>
      <c r="F151" s="10" t="s">
        <v>135</v>
      </c>
      <c r="G151" s="136" t="n">
        <v>4958</v>
      </c>
      <c r="H151" s="162" t="n">
        <v>0</v>
      </c>
    </row>
    <row r="152">
      <c r="A152" s="140"/>
      <c r="D152" s="163" t="s">
        <v>630</v>
      </c>
      <c r="E152" s="163" t="s">
        <v>620</v>
      </c>
      <c r="F152" s="163"/>
      <c r="G152" s="164" t="n">
        <v>4142</v>
      </c>
      <c r="H152" s="165"/>
    </row>
    <row r="153">
      <c r="A153" s="9" t="s">
        <v>10</v>
      </c>
      <c r="B153" s="10" t="s">
        <v>10</v>
      </c>
      <c r="C153" s="10" t="s">
        <v>10</v>
      </c>
      <c r="D153" s="163" t="s">
        <v>631</v>
      </c>
      <c r="E153" s="163" t="s">
        <v>632</v>
      </c>
      <c r="F153" s="163"/>
      <c r="G153" s="164" t="n">
        <v>816</v>
      </c>
      <c r="H153" s="138" t="s">
        <v>10</v>
      </c>
    </row>
    <row r="154">
      <c r="A154" s="9" t="s">
        <v>310</v>
      </c>
      <c r="B154" s="10" t="s">
        <v>10</v>
      </c>
      <c r="C154" s="10" t="s">
        <v>318</v>
      </c>
      <c r="D154" s="10" t="s">
        <v>319</v>
      </c>
      <c r="E154" s="10"/>
      <c r="F154" s="10" t="s">
        <v>135</v>
      </c>
      <c r="G154" s="136" t="n">
        <v>2984</v>
      </c>
      <c r="H154" s="162" t="n">
        <v>0</v>
      </c>
    </row>
    <row r="155">
      <c r="A155" s="140"/>
      <c r="D155" s="163" t="s">
        <v>619</v>
      </c>
      <c r="E155" s="163" t="s">
        <v>620</v>
      </c>
      <c r="F155" s="163"/>
      <c r="G155" s="164" t="n">
        <v>2071</v>
      </c>
      <c r="H155" s="165"/>
    </row>
    <row r="156">
      <c r="A156" s="9" t="s">
        <v>10</v>
      </c>
      <c r="B156" s="10" t="s">
        <v>10</v>
      </c>
      <c r="C156" s="10" t="s">
        <v>10</v>
      </c>
      <c r="D156" s="163" t="s">
        <v>625</v>
      </c>
      <c r="E156" s="163" t="s">
        <v>632</v>
      </c>
      <c r="F156" s="163"/>
      <c r="G156" s="164" t="n">
        <v>913</v>
      </c>
      <c r="H156" s="138" t="s">
        <v>10</v>
      </c>
    </row>
    <row r="157" customHeight="true" ht="13.5">
      <c r="A157" s="140"/>
      <c r="C157" s="166" t="s">
        <v>131</v>
      </c>
      <c r="D157" s="142" t="s">
        <v>320</v>
      </c>
      <c r="E157" s="143"/>
      <c r="F157" s="143"/>
      <c r="G157" s="143"/>
      <c r="H157" s="165"/>
    </row>
    <row r="158">
      <c r="A158" s="9" t="s">
        <v>321</v>
      </c>
      <c r="B158" s="10" t="s">
        <v>10</v>
      </c>
      <c r="C158" s="10" t="s">
        <v>322</v>
      </c>
      <c r="D158" s="10" t="s">
        <v>323</v>
      </c>
      <c r="E158" s="10"/>
      <c r="F158" s="10" t="s">
        <v>135</v>
      </c>
      <c r="G158" s="136" t="n">
        <v>2071</v>
      </c>
      <c r="H158" s="162" t="n">
        <v>0</v>
      </c>
    </row>
    <row r="159">
      <c r="A159" s="140"/>
      <c r="D159" s="163" t="s">
        <v>619</v>
      </c>
      <c r="E159" s="163" t="s">
        <v>620</v>
      </c>
      <c r="F159" s="163"/>
      <c r="G159" s="164" t="n">
        <v>2071</v>
      </c>
      <c r="H159" s="165"/>
    </row>
    <row r="160">
      <c r="A160" s="9" t="s">
        <v>324</v>
      </c>
      <c r="B160" s="10" t="s">
        <v>10</v>
      </c>
      <c r="C160" s="10" t="s">
        <v>325</v>
      </c>
      <c r="D160" s="10" t="s">
        <v>326</v>
      </c>
      <c r="E160" s="10"/>
      <c r="F160" s="10" t="s">
        <v>135</v>
      </c>
      <c r="G160" s="136" t="n">
        <v>816</v>
      </c>
      <c r="H160" s="162" t="n">
        <v>0</v>
      </c>
    </row>
    <row r="161">
      <c r="A161" s="140"/>
      <c r="D161" s="163" t="s">
        <v>631</v>
      </c>
      <c r="E161" s="163" t="s">
        <v>633</v>
      </c>
      <c r="F161" s="163"/>
      <c r="G161" s="164" t="n">
        <v>816</v>
      </c>
      <c r="H161" s="165"/>
    </row>
    <row r="162">
      <c r="A162" s="9" t="s">
        <v>328</v>
      </c>
      <c r="B162" s="10" t="s">
        <v>10</v>
      </c>
      <c r="C162" s="10" t="s">
        <v>329</v>
      </c>
      <c r="D162" s="10" t="s">
        <v>330</v>
      </c>
      <c r="E162" s="10"/>
      <c r="F162" s="10" t="s">
        <v>135</v>
      </c>
      <c r="G162" s="136" t="n">
        <v>816</v>
      </c>
      <c r="H162" s="162" t="n">
        <v>0</v>
      </c>
    </row>
    <row r="163">
      <c r="A163" s="140"/>
      <c r="D163" s="163" t="s">
        <v>631</v>
      </c>
      <c r="E163" s="163" t="s">
        <v>632</v>
      </c>
      <c r="F163" s="163"/>
      <c r="G163" s="164" t="n">
        <v>816</v>
      </c>
      <c r="H163" s="165"/>
    </row>
    <row r="164" customHeight="true" ht="13.5">
      <c r="A164" s="140"/>
      <c r="C164" s="166" t="s">
        <v>131</v>
      </c>
      <c r="D164" s="142" t="s">
        <v>331</v>
      </c>
      <c r="E164" s="143"/>
      <c r="F164" s="143"/>
      <c r="G164" s="143"/>
      <c r="H164" s="165"/>
    </row>
    <row r="165">
      <c r="A165" s="167" t="s">
        <v>10</v>
      </c>
      <c r="B165" s="131" t="s">
        <v>10</v>
      </c>
      <c r="C165" s="131" t="s">
        <v>324</v>
      </c>
      <c r="D165" s="131" t="s">
        <v>332</v>
      </c>
      <c r="E165" s="131"/>
      <c r="F165" s="131" t="s">
        <v>10</v>
      </c>
      <c r="G165" s="112" t="s">
        <v>10</v>
      </c>
      <c r="H165" s="135" t="s">
        <v>10</v>
      </c>
    </row>
    <row r="166">
      <c r="A166" s="9" t="s">
        <v>333</v>
      </c>
      <c r="B166" s="10" t="s">
        <v>10</v>
      </c>
      <c r="C166" s="10" t="s">
        <v>334</v>
      </c>
      <c r="D166" s="10" t="s">
        <v>335</v>
      </c>
      <c r="E166" s="10"/>
      <c r="F166" s="10" t="s">
        <v>135</v>
      </c>
      <c r="G166" s="136" t="n">
        <v>322</v>
      </c>
      <c r="H166" s="162" t="n">
        <v>0</v>
      </c>
    </row>
    <row r="167">
      <c r="A167" s="140"/>
      <c r="D167" s="163" t="s">
        <v>634</v>
      </c>
      <c r="E167" s="163" t="s">
        <v>635</v>
      </c>
      <c r="F167" s="163"/>
      <c r="G167" s="164" t="n">
        <v>322</v>
      </c>
      <c r="H167" s="165"/>
    </row>
    <row r="168">
      <c r="A168" s="9" t="s">
        <v>337</v>
      </c>
      <c r="B168" s="10" t="s">
        <v>10</v>
      </c>
      <c r="C168" s="10" t="s">
        <v>338</v>
      </c>
      <c r="D168" s="10" t="s">
        <v>339</v>
      </c>
      <c r="E168" s="10"/>
      <c r="F168" s="10" t="s">
        <v>200</v>
      </c>
      <c r="G168" s="136" t="n">
        <v>5780.544</v>
      </c>
      <c r="H168" s="162" t="n">
        <v>0</v>
      </c>
    </row>
    <row r="169">
      <c r="A169" s="140"/>
      <c r="D169" s="163" t="s">
        <v>636</v>
      </c>
      <c r="E169" s="163" t="s">
        <v>635</v>
      </c>
      <c r="F169" s="163"/>
      <c r="G169" s="164" t="n">
        <v>5667.2</v>
      </c>
      <c r="H169" s="165"/>
    </row>
    <row r="170">
      <c r="A170" s="9" t="s">
        <v>10</v>
      </c>
      <c r="B170" s="10" t="s">
        <v>10</v>
      </c>
      <c r="C170" s="10" t="s">
        <v>10</v>
      </c>
      <c r="D170" s="163" t="s">
        <v>637</v>
      </c>
      <c r="E170" s="163" t="s">
        <v>10</v>
      </c>
      <c r="F170" s="163"/>
      <c r="G170" s="164" t="n">
        <v>113.344</v>
      </c>
      <c r="H170" s="138" t="s">
        <v>10</v>
      </c>
    </row>
    <row r="171" customHeight="true" ht="13.5">
      <c r="A171" s="140"/>
      <c r="C171" s="166" t="s">
        <v>131</v>
      </c>
      <c r="D171" s="142" t="s">
        <v>638</v>
      </c>
      <c r="E171" s="143"/>
      <c r="F171" s="143"/>
      <c r="G171" s="143"/>
      <c r="H171" s="165"/>
    </row>
    <row r="172">
      <c r="A172" s="9" t="s">
        <v>341</v>
      </c>
      <c r="B172" s="10" t="s">
        <v>10</v>
      </c>
      <c r="C172" s="10" t="s">
        <v>342</v>
      </c>
      <c r="D172" s="10" t="s">
        <v>343</v>
      </c>
      <c r="E172" s="10"/>
      <c r="F172" s="10" t="s">
        <v>135</v>
      </c>
      <c r="G172" s="136" t="n">
        <v>46</v>
      </c>
      <c r="H172" s="162" t="n">
        <v>0</v>
      </c>
    </row>
    <row r="173">
      <c r="A173" s="140"/>
      <c r="D173" s="163" t="s">
        <v>282</v>
      </c>
      <c r="E173" s="163" t="s">
        <v>632</v>
      </c>
      <c r="F173" s="163"/>
      <c r="G173" s="164" t="n">
        <v>46</v>
      </c>
      <c r="H173" s="165"/>
    </row>
    <row r="174" customHeight="true" ht="40.5">
      <c r="A174" s="140"/>
      <c r="C174" s="166" t="s">
        <v>131</v>
      </c>
      <c r="D174" s="142" t="s">
        <v>344</v>
      </c>
      <c r="E174" s="143"/>
      <c r="F174" s="143"/>
      <c r="G174" s="143"/>
      <c r="H174" s="165"/>
    </row>
    <row r="175">
      <c r="A175" s="9" t="s">
        <v>345</v>
      </c>
      <c r="B175" s="10" t="s">
        <v>10</v>
      </c>
      <c r="C175" s="10" t="s">
        <v>346</v>
      </c>
      <c r="D175" s="10" t="s">
        <v>347</v>
      </c>
      <c r="E175" s="10"/>
      <c r="F175" s="10" t="s">
        <v>135</v>
      </c>
      <c r="G175" s="136" t="n">
        <v>46.92</v>
      </c>
      <c r="H175" s="162" t="n">
        <v>0</v>
      </c>
    </row>
    <row r="176">
      <c r="A176" s="140"/>
      <c r="D176" s="163" t="s">
        <v>282</v>
      </c>
      <c r="E176" s="163" t="s">
        <v>632</v>
      </c>
      <c r="F176" s="163"/>
      <c r="G176" s="164" t="n">
        <v>46</v>
      </c>
      <c r="H176" s="165"/>
    </row>
    <row r="177">
      <c r="A177" s="9" t="s">
        <v>10</v>
      </c>
      <c r="B177" s="10" t="s">
        <v>10</v>
      </c>
      <c r="C177" s="10" t="s">
        <v>10</v>
      </c>
      <c r="D177" s="163" t="s">
        <v>639</v>
      </c>
      <c r="E177" s="163" t="s">
        <v>10</v>
      </c>
      <c r="F177" s="163"/>
      <c r="G177" s="164" t="n">
        <v>0.92</v>
      </c>
      <c r="H177" s="138" t="s">
        <v>10</v>
      </c>
    </row>
    <row r="178">
      <c r="A178" s="9" t="s">
        <v>348</v>
      </c>
      <c r="B178" s="10" t="s">
        <v>10</v>
      </c>
      <c r="C178" s="10" t="s">
        <v>349</v>
      </c>
      <c r="D178" s="10" t="s">
        <v>350</v>
      </c>
      <c r="E178" s="10"/>
      <c r="F178" s="10" t="s">
        <v>135</v>
      </c>
      <c r="G178" s="136" t="n">
        <v>343</v>
      </c>
      <c r="H178" s="162" t="n">
        <v>0</v>
      </c>
    </row>
    <row r="179">
      <c r="A179" s="140"/>
      <c r="D179" s="163" t="s">
        <v>640</v>
      </c>
      <c r="E179" s="163" t="s">
        <v>635</v>
      </c>
      <c r="F179" s="163"/>
      <c r="G179" s="164" t="n">
        <v>276</v>
      </c>
      <c r="H179" s="165"/>
    </row>
    <row r="180">
      <c r="A180" s="9" t="s">
        <v>10</v>
      </c>
      <c r="B180" s="10" t="s">
        <v>10</v>
      </c>
      <c r="C180" s="10" t="s">
        <v>10</v>
      </c>
      <c r="D180" s="163" t="s">
        <v>298</v>
      </c>
      <c r="E180" s="163" t="s">
        <v>632</v>
      </c>
      <c r="F180" s="163"/>
      <c r="G180" s="164" t="n">
        <v>51</v>
      </c>
      <c r="H180" s="138" t="s">
        <v>10</v>
      </c>
    </row>
    <row r="181">
      <c r="A181" s="9" t="s">
        <v>10</v>
      </c>
      <c r="B181" s="10" t="s">
        <v>10</v>
      </c>
      <c r="C181" s="10" t="s">
        <v>10</v>
      </c>
      <c r="D181" s="163" t="s">
        <v>167</v>
      </c>
      <c r="E181" s="163" t="s">
        <v>627</v>
      </c>
      <c r="F181" s="163"/>
      <c r="G181" s="164" t="n">
        <v>16</v>
      </c>
      <c r="H181" s="138" t="s">
        <v>10</v>
      </c>
    </row>
    <row r="182" customHeight="true" ht="54">
      <c r="A182" s="140"/>
      <c r="C182" s="166" t="s">
        <v>131</v>
      </c>
      <c r="D182" s="142" t="s">
        <v>351</v>
      </c>
      <c r="E182" s="143"/>
      <c r="F182" s="143"/>
      <c r="G182" s="143"/>
      <c r="H182" s="165"/>
    </row>
    <row r="183">
      <c r="A183" s="9" t="s">
        <v>352</v>
      </c>
      <c r="B183" s="10" t="s">
        <v>10</v>
      </c>
      <c r="C183" s="10" t="s">
        <v>353</v>
      </c>
      <c r="D183" s="10" t="s">
        <v>354</v>
      </c>
      <c r="E183" s="10"/>
      <c r="F183" s="10" t="s">
        <v>135</v>
      </c>
      <c r="G183" s="136" t="n">
        <v>75.48</v>
      </c>
      <c r="H183" s="162" t="n">
        <v>0</v>
      </c>
    </row>
    <row r="184">
      <c r="A184" s="140"/>
      <c r="D184" s="163" t="s">
        <v>141</v>
      </c>
      <c r="E184" s="163" t="s">
        <v>635</v>
      </c>
      <c r="F184" s="163"/>
      <c r="G184" s="164" t="n">
        <v>7</v>
      </c>
      <c r="H184" s="165"/>
    </row>
    <row r="185">
      <c r="A185" s="9" t="s">
        <v>10</v>
      </c>
      <c r="B185" s="10" t="s">
        <v>10</v>
      </c>
      <c r="C185" s="10" t="s">
        <v>10</v>
      </c>
      <c r="D185" s="163" t="s">
        <v>298</v>
      </c>
      <c r="E185" s="163" t="s">
        <v>632</v>
      </c>
      <c r="F185" s="163"/>
      <c r="G185" s="164" t="n">
        <v>51</v>
      </c>
      <c r="H185" s="138" t="s">
        <v>10</v>
      </c>
    </row>
    <row r="186">
      <c r="A186" s="9" t="s">
        <v>10</v>
      </c>
      <c r="B186" s="10" t="s">
        <v>10</v>
      </c>
      <c r="C186" s="10" t="s">
        <v>10</v>
      </c>
      <c r="D186" s="163" t="s">
        <v>167</v>
      </c>
      <c r="E186" s="163" t="s">
        <v>627</v>
      </c>
      <c r="F186" s="163"/>
      <c r="G186" s="164" t="n">
        <v>16</v>
      </c>
      <c r="H186" s="138" t="s">
        <v>10</v>
      </c>
    </row>
    <row r="187">
      <c r="A187" s="9" t="s">
        <v>10</v>
      </c>
      <c r="B187" s="10" t="s">
        <v>10</v>
      </c>
      <c r="C187" s="10" t="s">
        <v>10</v>
      </c>
      <c r="D187" s="163" t="s">
        <v>641</v>
      </c>
      <c r="E187" s="163" t="s">
        <v>10</v>
      </c>
      <c r="F187" s="163"/>
      <c r="G187" s="164" t="n">
        <v>1.48</v>
      </c>
      <c r="H187" s="138" t="s">
        <v>10</v>
      </c>
    </row>
    <row r="188" customHeight="true" ht="67.5">
      <c r="A188" s="140"/>
      <c r="C188" s="166" t="s">
        <v>131</v>
      </c>
      <c r="D188" s="142" t="s">
        <v>642</v>
      </c>
      <c r="E188" s="143"/>
      <c r="F188" s="143"/>
      <c r="G188" s="143"/>
      <c r="H188" s="165"/>
    </row>
    <row r="189">
      <c r="A189" s="9" t="s">
        <v>356</v>
      </c>
      <c r="B189" s="10" t="s">
        <v>10</v>
      </c>
      <c r="C189" s="10" t="s">
        <v>357</v>
      </c>
      <c r="D189" s="10" t="s">
        <v>358</v>
      </c>
      <c r="E189" s="10"/>
      <c r="F189" s="10" t="s">
        <v>135</v>
      </c>
      <c r="G189" s="136" t="n">
        <v>274.38</v>
      </c>
      <c r="H189" s="162" t="n">
        <v>0</v>
      </c>
    </row>
    <row r="190">
      <c r="A190" s="140"/>
      <c r="D190" s="163" t="s">
        <v>643</v>
      </c>
      <c r="E190" s="163" t="s">
        <v>635</v>
      </c>
      <c r="F190" s="163"/>
      <c r="G190" s="164" t="n">
        <v>269</v>
      </c>
      <c r="H190" s="165"/>
    </row>
    <row r="191">
      <c r="A191" s="9" t="s">
        <v>10</v>
      </c>
      <c r="B191" s="10" t="s">
        <v>10</v>
      </c>
      <c r="C191" s="10" t="s">
        <v>10</v>
      </c>
      <c r="D191" s="163" t="s">
        <v>644</v>
      </c>
      <c r="E191" s="163" t="s">
        <v>10</v>
      </c>
      <c r="F191" s="163"/>
      <c r="G191" s="164" t="n">
        <v>5.38</v>
      </c>
      <c r="H191" s="138" t="s">
        <v>10</v>
      </c>
    </row>
    <row r="192" customHeight="true" ht="13.5">
      <c r="A192" s="140"/>
      <c r="C192" s="166" t="s">
        <v>131</v>
      </c>
      <c r="D192" s="142" t="s">
        <v>359</v>
      </c>
      <c r="E192" s="143"/>
      <c r="F192" s="143"/>
      <c r="G192" s="143"/>
      <c r="H192" s="165"/>
    </row>
    <row r="193">
      <c r="A193" s="9" t="s">
        <v>360</v>
      </c>
      <c r="B193" s="10" t="s">
        <v>10</v>
      </c>
      <c r="C193" s="10" t="s">
        <v>361</v>
      </c>
      <c r="D193" s="10" t="s">
        <v>362</v>
      </c>
      <c r="E193" s="10"/>
      <c r="F193" s="10" t="s">
        <v>115</v>
      </c>
      <c r="G193" s="136" t="n">
        <v>200</v>
      </c>
      <c r="H193" s="162" t="n">
        <v>0</v>
      </c>
    </row>
    <row r="194">
      <c r="A194" s="140"/>
      <c r="D194" s="163" t="s">
        <v>645</v>
      </c>
      <c r="E194" s="163" t="s">
        <v>10</v>
      </c>
      <c r="F194" s="163"/>
      <c r="G194" s="164" t="n">
        <v>200</v>
      </c>
      <c r="H194" s="165"/>
    </row>
    <row r="195">
      <c r="A195" s="167" t="s">
        <v>10</v>
      </c>
      <c r="B195" s="131" t="s">
        <v>10</v>
      </c>
      <c r="C195" s="131" t="s">
        <v>363</v>
      </c>
      <c r="D195" s="131" t="s">
        <v>364</v>
      </c>
      <c r="E195" s="131"/>
      <c r="F195" s="131" t="s">
        <v>10</v>
      </c>
      <c r="G195" s="112" t="s">
        <v>10</v>
      </c>
      <c r="H195" s="135" t="s">
        <v>10</v>
      </c>
    </row>
    <row r="196">
      <c r="A196" s="9" t="s">
        <v>365</v>
      </c>
      <c r="B196" s="10" t="s">
        <v>10</v>
      </c>
      <c r="C196" s="10" t="s">
        <v>366</v>
      </c>
      <c r="D196" s="10" t="s">
        <v>367</v>
      </c>
      <c r="E196" s="10"/>
      <c r="F196" s="10" t="s">
        <v>368</v>
      </c>
      <c r="G196" s="136" t="n">
        <v>350</v>
      </c>
      <c r="H196" s="162" t="n">
        <v>0</v>
      </c>
    </row>
    <row r="197">
      <c r="A197" s="140"/>
      <c r="D197" s="163" t="s">
        <v>646</v>
      </c>
      <c r="E197" s="163" t="s">
        <v>647</v>
      </c>
      <c r="F197" s="163"/>
      <c r="G197" s="164" t="n">
        <v>350</v>
      </c>
      <c r="H197" s="165"/>
    </row>
    <row r="198">
      <c r="A198" s="9" t="s">
        <v>371</v>
      </c>
      <c r="B198" s="10" t="s">
        <v>10</v>
      </c>
      <c r="C198" s="10" t="s">
        <v>168</v>
      </c>
      <c r="D198" s="10" t="s">
        <v>169</v>
      </c>
      <c r="E198" s="10"/>
      <c r="F198" s="10" t="s">
        <v>129</v>
      </c>
      <c r="G198" s="136" t="n">
        <v>0.3675</v>
      </c>
      <c r="H198" s="162" t="n">
        <v>0</v>
      </c>
    </row>
    <row r="199" customHeight="true" ht="27">
      <c r="A199" s="140"/>
      <c r="C199" s="166" t="s">
        <v>131</v>
      </c>
      <c r="D199" s="142" t="s">
        <v>170</v>
      </c>
      <c r="E199" s="143"/>
      <c r="F199" s="143"/>
      <c r="G199" s="143"/>
      <c r="H199" s="165"/>
    </row>
    <row r="200">
      <c r="A200" s="167" t="s">
        <v>10</v>
      </c>
      <c r="B200" s="131" t="s">
        <v>10</v>
      </c>
      <c r="C200" s="131" t="s">
        <v>372</v>
      </c>
      <c r="D200" s="131" t="s">
        <v>373</v>
      </c>
      <c r="E200" s="131"/>
      <c r="F200" s="131" t="s">
        <v>10</v>
      </c>
      <c r="G200" s="112" t="s">
        <v>10</v>
      </c>
      <c r="H200" s="135" t="s">
        <v>10</v>
      </c>
    </row>
    <row r="201">
      <c r="A201" s="9" t="s">
        <v>374</v>
      </c>
      <c r="B201" s="10" t="s">
        <v>10</v>
      </c>
      <c r="C201" s="10" t="s">
        <v>375</v>
      </c>
      <c r="D201" s="10" t="s">
        <v>376</v>
      </c>
      <c r="E201" s="10"/>
      <c r="F201" s="10" t="s">
        <v>115</v>
      </c>
      <c r="G201" s="136" t="n">
        <v>52</v>
      </c>
      <c r="H201" s="162" t="n">
        <v>0</v>
      </c>
    </row>
    <row r="202">
      <c r="A202" s="140"/>
      <c r="D202" s="163" t="s">
        <v>301</v>
      </c>
      <c r="E202" s="163" t="s">
        <v>648</v>
      </c>
      <c r="F202" s="163"/>
      <c r="G202" s="164" t="n">
        <v>52</v>
      </c>
      <c r="H202" s="165"/>
    </row>
    <row r="203" customHeight="true" ht="54">
      <c r="A203" s="140"/>
      <c r="C203" s="166" t="s">
        <v>131</v>
      </c>
      <c r="D203" s="142" t="s">
        <v>380</v>
      </c>
      <c r="E203" s="143"/>
      <c r="F203" s="143"/>
      <c r="G203" s="143"/>
      <c r="H203" s="165"/>
    </row>
    <row r="204">
      <c r="A204" s="167" t="s">
        <v>10</v>
      </c>
      <c r="B204" s="131" t="s">
        <v>10</v>
      </c>
      <c r="C204" s="131" t="s">
        <v>381</v>
      </c>
      <c r="D204" s="131" t="s">
        <v>382</v>
      </c>
      <c r="E204" s="131"/>
      <c r="F204" s="131" t="s">
        <v>10</v>
      </c>
      <c r="G204" s="112" t="s">
        <v>10</v>
      </c>
      <c r="H204" s="135" t="s">
        <v>10</v>
      </c>
    </row>
    <row r="205">
      <c r="A205" s="9" t="s">
        <v>383</v>
      </c>
      <c r="B205" s="10" t="s">
        <v>10</v>
      </c>
      <c r="C205" s="10" t="s">
        <v>384</v>
      </c>
      <c r="D205" s="10" t="s">
        <v>385</v>
      </c>
      <c r="E205" s="10"/>
      <c r="F205" s="10" t="s">
        <v>200</v>
      </c>
      <c r="G205" s="136" t="n">
        <v>16</v>
      </c>
      <c r="H205" s="162" t="n">
        <v>0</v>
      </c>
    </row>
    <row r="206">
      <c r="A206" s="140"/>
      <c r="D206" s="163" t="s">
        <v>160</v>
      </c>
      <c r="E206" s="163" t="s">
        <v>649</v>
      </c>
      <c r="F206" s="163"/>
      <c r="G206" s="164" t="n">
        <v>14</v>
      </c>
      <c r="H206" s="165"/>
    </row>
    <row r="207">
      <c r="A207" s="9" t="s">
        <v>10</v>
      </c>
      <c r="B207" s="10" t="s">
        <v>10</v>
      </c>
      <c r="C207" s="10" t="s">
        <v>10</v>
      </c>
      <c r="D207" s="163" t="s">
        <v>120</v>
      </c>
      <c r="E207" s="163" t="s">
        <v>650</v>
      </c>
      <c r="F207" s="163"/>
      <c r="G207" s="164" t="n">
        <v>2</v>
      </c>
      <c r="H207" s="138" t="s">
        <v>10</v>
      </c>
    </row>
    <row r="208" customHeight="true" ht="27">
      <c r="A208" s="140"/>
      <c r="C208" s="166" t="s">
        <v>131</v>
      </c>
      <c r="D208" s="142" t="s">
        <v>388</v>
      </c>
      <c r="E208" s="143"/>
      <c r="F208" s="143"/>
      <c r="G208" s="143"/>
      <c r="H208" s="165"/>
    </row>
    <row r="209">
      <c r="A209" s="167" t="s">
        <v>10</v>
      </c>
      <c r="B209" s="131" t="s">
        <v>10</v>
      </c>
      <c r="C209" s="131" t="s">
        <v>389</v>
      </c>
      <c r="D209" s="131" t="s">
        <v>390</v>
      </c>
      <c r="E209" s="131"/>
      <c r="F209" s="131" t="s">
        <v>10</v>
      </c>
      <c r="G209" s="112" t="s">
        <v>10</v>
      </c>
      <c r="H209" s="135" t="s">
        <v>10</v>
      </c>
    </row>
    <row r="210">
      <c r="A210" s="9" t="s">
        <v>391</v>
      </c>
      <c r="B210" s="10" t="s">
        <v>10</v>
      </c>
      <c r="C210" s="10" t="s">
        <v>392</v>
      </c>
      <c r="D210" s="10" t="s">
        <v>393</v>
      </c>
      <c r="E210" s="10"/>
      <c r="F210" s="10" t="s">
        <v>135</v>
      </c>
      <c r="G210" s="136" t="n">
        <v>21</v>
      </c>
      <c r="H210" s="162" t="n">
        <v>0</v>
      </c>
    </row>
    <row r="211">
      <c r="A211" s="140"/>
      <c r="D211" s="163" t="s">
        <v>184</v>
      </c>
      <c r="E211" s="163" t="s">
        <v>627</v>
      </c>
      <c r="F211" s="163"/>
      <c r="G211" s="164" t="n">
        <v>21</v>
      </c>
      <c r="H211" s="165"/>
    </row>
    <row r="212">
      <c r="A212" s="9" t="s">
        <v>397</v>
      </c>
      <c r="B212" s="10" t="s">
        <v>10</v>
      </c>
      <c r="C212" s="10" t="s">
        <v>398</v>
      </c>
      <c r="D212" s="10" t="s">
        <v>399</v>
      </c>
      <c r="E212" s="10"/>
      <c r="F212" s="10" t="s">
        <v>115</v>
      </c>
      <c r="G212" s="136" t="n">
        <v>159</v>
      </c>
      <c r="H212" s="162" t="n">
        <v>0</v>
      </c>
    </row>
    <row r="213">
      <c r="A213" s="140"/>
      <c r="D213" s="163" t="s">
        <v>651</v>
      </c>
      <c r="E213" s="163" t="s">
        <v>10</v>
      </c>
      <c r="F213" s="163"/>
      <c r="G213" s="164" t="n">
        <v>159</v>
      </c>
      <c r="H213" s="165"/>
    </row>
    <row r="214">
      <c r="A214" s="9" t="s">
        <v>401</v>
      </c>
      <c r="B214" s="10" t="s">
        <v>10</v>
      </c>
      <c r="C214" s="10" t="s">
        <v>402</v>
      </c>
      <c r="D214" s="10" t="s">
        <v>403</v>
      </c>
      <c r="E214" s="10"/>
      <c r="F214" s="10" t="s">
        <v>115</v>
      </c>
      <c r="G214" s="136" t="n">
        <v>646</v>
      </c>
      <c r="H214" s="162" t="n">
        <v>0</v>
      </c>
    </row>
    <row r="215">
      <c r="A215" s="140"/>
      <c r="D215" s="163" t="s">
        <v>652</v>
      </c>
      <c r="E215" s="163" t="s">
        <v>10</v>
      </c>
      <c r="F215" s="163"/>
      <c r="G215" s="164" t="n">
        <v>646</v>
      </c>
      <c r="H215" s="165"/>
    </row>
    <row r="216" customHeight="true" ht="27">
      <c r="A216" s="140"/>
      <c r="C216" s="166" t="s">
        <v>131</v>
      </c>
      <c r="D216" s="142" t="s">
        <v>405</v>
      </c>
      <c r="E216" s="143"/>
      <c r="F216" s="143"/>
      <c r="G216" s="143"/>
      <c r="H216" s="165"/>
    </row>
    <row r="217">
      <c r="A217" s="9" t="s">
        <v>406</v>
      </c>
      <c r="B217" s="10" t="s">
        <v>10</v>
      </c>
      <c r="C217" s="10" t="s">
        <v>407</v>
      </c>
      <c r="D217" s="10" t="s">
        <v>408</v>
      </c>
      <c r="E217" s="10"/>
      <c r="F217" s="10" t="s">
        <v>115</v>
      </c>
      <c r="G217" s="136" t="n">
        <v>399</v>
      </c>
      <c r="H217" s="162" t="n">
        <v>0</v>
      </c>
    </row>
    <row r="218">
      <c r="A218" s="140"/>
      <c r="D218" s="163" t="s">
        <v>653</v>
      </c>
      <c r="E218" s="163" t="s">
        <v>10</v>
      </c>
      <c r="F218" s="163"/>
      <c r="G218" s="164" t="n">
        <v>399</v>
      </c>
      <c r="H218" s="165"/>
    </row>
    <row r="219" customHeight="true" ht="13.5">
      <c r="A219" s="140"/>
      <c r="C219" s="166" t="s">
        <v>131</v>
      </c>
      <c r="D219" s="142" t="s">
        <v>410</v>
      </c>
      <c r="E219" s="143"/>
      <c r="F219" s="143"/>
      <c r="G219" s="143"/>
      <c r="H219" s="165"/>
    </row>
    <row r="220">
      <c r="A220" s="9" t="s">
        <v>411</v>
      </c>
      <c r="B220" s="10" t="s">
        <v>10</v>
      </c>
      <c r="C220" s="10" t="s">
        <v>412</v>
      </c>
      <c r="D220" s="10" t="s">
        <v>413</v>
      </c>
      <c r="E220" s="10"/>
      <c r="F220" s="10" t="s">
        <v>115</v>
      </c>
      <c r="G220" s="136" t="n">
        <v>460</v>
      </c>
      <c r="H220" s="162" t="n">
        <v>0</v>
      </c>
    </row>
    <row r="221">
      <c r="A221" s="140"/>
      <c r="D221" s="163" t="s">
        <v>602</v>
      </c>
      <c r="E221" s="163" t="s">
        <v>10</v>
      </c>
      <c r="F221" s="163"/>
      <c r="G221" s="164" t="n">
        <v>460</v>
      </c>
      <c r="H221" s="165"/>
    </row>
    <row r="222" customHeight="true" ht="13.5">
      <c r="A222" s="140"/>
      <c r="C222" s="166" t="s">
        <v>131</v>
      </c>
      <c r="D222" s="142" t="s">
        <v>414</v>
      </c>
      <c r="E222" s="143"/>
      <c r="F222" s="143"/>
      <c r="G222" s="143"/>
      <c r="H222" s="165"/>
    </row>
    <row r="223">
      <c r="A223" s="9" t="s">
        <v>415</v>
      </c>
      <c r="B223" s="10" t="s">
        <v>10</v>
      </c>
      <c r="C223" s="10" t="s">
        <v>416</v>
      </c>
      <c r="D223" s="10" t="s">
        <v>417</v>
      </c>
      <c r="E223" s="10"/>
      <c r="F223" s="10" t="s">
        <v>200</v>
      </c>
      <c r="G223" s="136" t="n">
        <v>1876.8</v>
      </c>
      <c r="H223" s="162" t="n">
        <v>0</v>
      </c>
    </row>
    <row r="224">
      <c r="A224" s="140"/>
      <c r="D224" s="163" t="s">
        <v>654</v>
      </c>
      <c r="E224" s="163" t="s">
        <v>10</v>
      </c>
      <c r="F224" s="163"/>
      <c r="G224" s="164" t="n">
        <v>1840</v>
      </c>
      <c r="H224" s="165"/>
    </row>
    <row r="225">
      <c r="A225" s="9" t="s">
        <v>10</v>
      </c>
      <c r="B225" s="10" t="s">
        <v>10</v>
      </c>
      <c r="C225" s="10" t="s">
        <v>10</v>
      </c>
      <c r="D225" s="163" t="s">
        <v>655</v>
      </c>
      <c r="E225" s="163" t="s">
        <v>10</v>
      </c>
      <c r="F225" s="163"/>
      <c r="G225" s="164" t="n">
        <v>36.8</v>
      </c>
      <c r="H225" s="138" t="s">
        <v>10</v>
      </c>
    </row>
    <row r="226">
      <c r="A226" s="9" t="s">
        <v>418</v>
      </c>
      <c r="B226" s="10" t="s">
        <v>10</v>
      </c>
      <c r="C226" s="10" t="s">
        <v>419</v>
      </c>
      <c r="D226" s="10" t="s">
        <v>420</v>
      </c>
      <c r="E226" s="10"/>
      <c r="F226" s="10" t="s">
        <v>200</v>
      </c>
      <c r="G226" s="136" t="n">
        <v>4</v>
      </c>
      <c r="H226" s="162" t="n">
        <v>0</v>
      </c>
    </row>
    <row r="227">
      <c r="A227" s="140"/>
      <c r="D227" s="163" t="s">
        <v>112</v>
      </c>
      <c r="E227" s="163" t="s">
        <v>656</v>
      </c>
      <c r="F227" s="163"/>
      <c r="G227" s="164" t="n">
        <v>1</v>
      </c>
      <c r="H227" s="165"/>
    </row>
    <row r="228">
      <c r="A228" s="9" t="s">
        <v>10</v>
      </c>
      <c r="B228" s="10" t="s">
        <v>10</v>
      </c>
      <c r="C228" s="10" t="s">
        <v>10</v>
      </c>
      <c r="D228" s="163" t="s">
        <v>112</v>
      </c>
      <c r="E228" s="163" t="s">
        <v>657</v>
      </c>
      <c r="F228" s="163"/>
      <c r="G228" s="164" t="n">
        <v>1</v>
      </c>
      <c r="H228" s="138" t="s">
        <v>10</v>
      </c>
    </row>
    <row r="229">
      <c r="A229" s="9" t="s">
        <v>10</v>
      </c>
      <c r="B229" s="10" t="s">
        <v>10</v>
      </c>
      <c r="C229" s="10" t="s">
        <v>10</v>
      </c>
      <c r="D229" s="163" t="s">
        <v>120</v>
      </c>
      <c r="E229" s="163" t="s">
        <v>658</v>
      </c>
      <c r="F229" s="163"/>
      <c r="G229" s="164" t="n">
        <v>2</v>
      </c>
      <c r="H229" s="138" t="s">
        <v>10</v>
      </c>
    </row>
    <row r="230" customHeight="true" ht="40.5">
      <c r="A230" s="140"/>
      <c r="C230" s="166" t="s">
        <v>131</v>
      </c>
      <c r="D230" s="142" t="s">
        <v>422</v>
      </c>
      <c r="E230" s="143"/>
      <c r="F230" s="143"/>
      <c r="G230" s="143"/>
      <c r="H230" s="165"/>
    </row>
    <row r="231">
      <c r="A231" s="9" t="s">
        <v>423</v>
      </c>
      <c r="B231" s="10" t="s">
        <v>10</v>
      </c>
      <c r="C231" s="10" t="s">
        <v>424</v>
      </c>
      <c r="D231" s="10" t="s">
        <v>425</v>
      </c>
      <c r="E231" s="10"/>
      <c r="F231" s="10" t="s">
        <v>200</v>
      </c>
      <c r="G231" s="136" t="n">
        <v>6</v>
      </c>
      <c r="H231" s="162" t="n">
        <v>0</v>
      </c>
    </row>
    <row r="232">
      <c r="A232" s="140"/>
      <c r="D232" s="163" t="s">
        <v>137</v>
      </c>
      <c r="E232" s="163" t="s">
        <v>10</v>
      </c>
      <c r="F232" s="163"/>
      <c r="G232" s="164" t="n">
        <v>6</v>
      </c>
      <c r="H232" s="165"/>
    </row>
    <row r="233" customHeight="true" ht="13.5">
      <c r="A233" s="140"/>
      <c r="C233" s="166" t="s">
        <v>131</v>
      </c>
      <c r="D233" s="142" t="s">
        <v>426</v>
      </c>
      <c r="E233" s="143"/>
      <c r="F233" s="143"/>
      <c r="G233" s="143"/>
      <c r="H233" s="165"/>
    </row>
    <row r="234">
      <c r="A234" s="9" t="s">
        <v>427</v>
      </c>
      <c r="B234" s="10" t="s">
        <v>10</v>
      </c>
      <c r="C234" s="10" t="s">
        <v>428</v>
      </c>
      <c r="D234" s="10" t="s">
        <v>429</v>
      </c>
      <c r="E234" s="10"/>
      <c r="F234" s="10" t="s">
        <v>200</v>
      </c>
      <c r="G234" s="136" t="n">
        <v>2</v>
      </c>
      <c r="H234" s="162" t="n">
        <v>0</v>
      </c>
    </row>
    <row r="235">
      <c r="A235" s="140"/>
      <c r="D235" s="163" t="s">
        <v>112</v>
      </c>
      <c r="E235" s="163" t="s">
        <v>659</v>
      </c>
      <c r="F235" s="163"/>
      <c r="G235" s="164" t="n">
        <v>1</v>
      </c>
      <c r="H235" s="165"/>
    </row>
    <row r="236">
      <c r="A236" s="9" t="s">
        <v>10</v>
      </c>
      <c r="B236" s="10" t="s">
        <v>10</v>
      </c>
      <c r="C236" s="10" t="s">
        <v>10</v>
      </c>
      <c r="D236" s="163" t="s">
        <v>112</v>
      </c>
      <c r="E236" s="163" t="s">
        <v>660</v>
      </c>
      <c r="F236" s="163"/>
      <c r="G236" s="164" t="n">
        <v>1</v>
      </c>
      <c r="H236" s="138" t="s">
        <v>10</v>
      </c>
    </row>
    <row r="237" customHeight="true" ht="54">
      <c r="A237" s="140"/>
      <c r="C237" s="166" t="s">
        <v>131</v>
      </c>
      <c r="D237" s="142" t="s">
        <v>661</v>
      </c>
      <c r="E237" s="143"/>
      <c r="F237" s="143"/>
      <c r="G237" s="143"/>
      <c r="H237" s="165"/>
    </row>
    <row r="238">
      <c r="A238" s="9" t="s">
        <v>431</v>
      </c>
      <c r="B238" s="10" t="s">
        <v>10</v>
      </c>
      <c r="C238" s="10" t="s">
        <v>432</v>
      </c>
      <c r="D238" s="10" t="s">
        <v>433</v>
      </c>
      <c r="E238" s="10"/>
      <c r="F238" s="10" t="s">
        <v>200</v>
      </c>
      <c r="G238" s="136" t="n">
        <v>2</v>
      </c>
      <c r="H238" s="162" t="n">
        <v>0</v>
      </c>
    </row>
    <row r="239">
      <c r="A239" s="140"/>
      <c r="D239" s="163" t="s">
        <v>112</v>
      </c>
      <c r="E239" s="163" t="s">
        <v>656</v>
      </c>
      <c r="F239" s="163"/>
      <c r="G239" s="164" t="n">
        <v>1</v>
      </c>
      <c r="H239" s="165"/>
    </row>
    <row r="240">
      <c r="A240" s="9" t="s">
        <v>10</v>
      </c>
      <c r="B240" s="10" t="s">
        <v>10</v>
      </c>
      <c r="C240" s="10" t="s">
        <v>10</v>
      </c>
      <c r="D240" s="163" t="s">
        <v>112</v>
      </c>
      <c r="E240" s="163" t="s">
        <v>662</v>
      </c>
      <c r="F240" s="163"/>
      <c r="G240" s="164" t="n">
        <v>1</v>
      </c>
      <c r="H240" s="138" t="s">
        <v>10</v>
      </c>
    </row>
    <row r="241" customHeight="true" ht="54">
      <c r="A241" s="140"/>
      <c r="C241" s="166" t="s">
        <v>131</v>
      </c>
      <c r="D241" s="142" t="s">
        <v>663</v>
      </c>
      <c r="E241" s="143"/>
      <c r="F241" s="143"/>
      <c r="G241" s="143"/>
      <c r="H241" s="165"/>
    </row>
    <row r="242">
      <c r="A242" s="9" t="s">
        <v>372</v>
      </c>
      <c r="B242" s="10" t="s">
        <v>10</v>
      </c>
      <c r="C242" s="10" t="s">
        <v>435</v>
      </c>
      <c r="D242" s="10" t="s">
        <v>436</v>
      </c>
      <c r="E242" s="10"/>
      <c r="F242" s="10" t="s">
        <v>200</v>
      </c>
      <c r="G242" s="136" t="n">
        <v>2</v>
      </c>
      <c r="H242" s="162" t="n">
        <v>0</v>
      </c>
    </row>
    <row r="243">
      <c r="A243" s="140"/>
      <c r="D243" s="163" t="s">
        <v>120</v>
      </c>
      <c r="E243" s="163" t="s">
        <v>664</v>
      </c>
      <c r="F243" s="163"/>
      <c r="G243" s="164" t="n">
        <v>2</v>
      </c>
      <c r="H243" s="165"/>
    </row>
    <row r="244" customHeight="true" ht="54">
      <c r="A244" s="140"/>
      <c r="C244" s="166" t="s">
        <v>131</v>
      </c>
      <c r="D244" s="142" t="s">
        <v>665</v>
      </c>
      <c r="E244" s="143"/>
      <c r="F244" s="143"/>
      <c r="G244" s="143"/>
      <c r="H244" s="165"/>
    </row>
    <row r="245">
      <c r="A245" s="9" t="s">
        <v>438</v>
      </c>
      <c r="B245" s="10" t="s">
        <v>10</v>
      </c>
      <c r="C245" s="10" t="s">
        <v>439</v>
      </c>
      <c r="D245" s="10" t="s">
        <v>440</v>
      </c>
      <c r="E245" s="10"/>
      <c r="F245" s="10" t="s">
        <v>115</v>
      </c>
      <c r="G245" s="136" t="n">
        <v>90</v>
      </c>
      <c r="H245" s="162" t="n">
        <v>0</v>
      </c>
    </row>
    <row r="246">
      <c r="A246" s="140"/>
      <c r="D246" s="163" t="s">
        <v>454</v>
      </c>
      <c r="E246" s="163" t="s">
        <v>666</v>
      </c>
      <c r="F246" s="163"/>
      <c r="G246" s="164" t="n">
        <v>90</v>
      </c>
      <c r="H246" s="165"/>
    </row>
    <row r="247" customHeight="true" ht="13.5">
      <c r="A247" s="140"/>
      <c r="C247" s="166" t="s">
        <v>131</v>
      </c>
      <c r="D247" s="142" t="s">
        <v>441</v>
      </c>
      <c r="E247" s="143"/>
      <c r="F247" s="143"/>
      <c r="G247" s="143"/>
      <c r="H247" s="165"/>
    </row>
    <row r="248">
      <c r="A248" s="9" t="s">
        <v>442</v>
      </c>
      <c r="B248" s="10" t="s">
        <v>10</v>
      </c>
      <c r="C248" s="10" t="s">
        <v>443</v>
      </c>
      <c r="D248" s="10" t="s">
        <v>444</v>
      </c>
      <c r="E248" s="10"/>
      <c r="F248" s="10" t="s">
        <v>115</v>
      </c>
      <c r="G248" s="136" t="n">
        <v>90</v>
      </c>
      <c r="H248" s="162" t="n">
        <v>0</v>
      </c>
    </row>
    <row r="249">
      <c r="A249" s="140"/>
      <c r="D249" s="163" t="s">
        <v>454</v>
      </c>
      <c r="E249" s="163" t="s">
        <v>666</v>
      </c>
      <c r="F249" s="163"/>
      <c r="G249" s="164" t="n">
        <v>90</v>
      </c>
      <c r="H249" s="165"/>
    </row>
    <row r="250">
      <c r="A250" s="9" t="s">
        <v>446</v>
      </c>
      <c r="B250" s="10" t="s">
        <v>10</v>
      </c>
      <c r="C250" s="10" t="s">
        <v>447</v>
      </c>
      <c r="D250" s="10" t="s">
        <v>393</v>
      </c>
      <c r="E250" s="10"/>
      <c r="F250" s="10" t="s">
        <v>135</v>
      </c>
      <c r="G250" s="136" t="n">
        <v>27</v>
      </c>
      <c r="H250" s="162" t="n">
        <v>0</v>
      </c>
    </row>
    <row r="251">
      <c r="A251" s="140"/>
      <c r="D251" s="163" t="s">
        <v>667</v>
      </c>
      <c r="E251" s="163" t="s">
        <v>668</v>
      </c>
      <c r="F251" s="163"/>
      <c r="G251" s="164" t="n">
        <v>19</v>
      </c>
      <c r="H251" s="165"/>
    </row>
    <row r="252">
      <c r="A252" s="9" t="s">
        <v>10</v>
      </c>
      <c r="B252" s="10" t="s">
        <v>10</v>
      </c>
      <c r="C252" s="10" t="s">
        <v>10</v>
      </c>
      <c r="D252" s="163" t="s">
        <v>669</v>
      </c>
      <c r="E252" s="163" t="s">
        <v>670</v>
      </c>
      <c r="F252" s="163"/>
      <c r="G252" s="164" t="n">
        <v>2</v>
      </c>
      <c r="H252" s="138" t="s">
        <v>10</v>
      </c>
    </row>
    <row r="253">
      <c r="A253" s="9" t="s">
        <v>10</v>
      </c>
      <c r="B253" s="10" t="s">
        <v>10</v>
      </c>
      <c r="C253" s="10" t="s">
        <v>10</v>
      </c>
      <c r="D253" s="163" t="s">
        <v>671</v>
      </c>
      <c r="E253" s="163" t="s">
        <v>672</v>
      </c>
      <c r="F253" s="163"/>
      <c r="G253" s="164" t="n">
        <v>6</v>
      </c>
      <c r="H253" s="138" t="s">
        <v>10</v>
      </c>
    </row>
    <row r="254">
      <c r="A254" s="9" t="s">
        <v>448</v>
      </c>
      <c r="B254" s="10" t="s">
        <v>10</v>
      </c>
      <c r="C254" s="10" t="s">
        <v>449</v>
      </c>
      <c r="D254" s="10" t="s">
        <v>450</v>
      </c>
      <c r="E254" s="10"/>
      <c r="F254" s="10" t="s">
        <v>135</v>
      </c>
      <c r="G254" s="136" t="n">
        <v>27</v>
      </c>
      <c r="H254" s="162" t="n">
        <v>0</v>
      </c>
    </row>
    <row r="255">
      <c r="A255" s="140"/>
      <c r="D255" s="163" t="s">
        <v>667</v>
      </c>
      <c r="E255" s="163" t="s">
        <v>668</v>
      </c>
      <c r="F255" s="163"/>
      <c r="G255" s="164" t="n">
        <v>19</v>
      </c>
      <c r="H255" s="165"/>
    </row>
    <row r="256">
      <c r="A256" s="9" t="s">
        <v>10</v>
      </c>
      <c r="B256" s="10" t="s">
        <v>10</v>
      </c>
      <c r="C256" s="10" t="s">
        <v>10</v>
      </c>
      <c r="D256" s="163" t="s">
        <v>669</v>
      </c>
      <c r="E256" s="163" t="s">
        <v>670</v>
      </c>
      <c r="F256" s="163"/>
      <c r="G256" s="164" t="n">
        <v>2</v>
      </c>
      <c r="H256" s="138" t="s">
        <v>10</v>
      </c>
    </row>
    <row r="257">
      <c r="A257" s="9" t="s">
        <v>10</v>
      </c>
      <c r="B257" s="10" t="s">
        <v>10</v>
      </c>
      <c r="C257" s="10" t="s">
        <v>10</v>
      </c>
      <c r="D257" s="163" t="s">
        <v>671</v>
      </c>
      <c r="E257" s="163" t="s">
        <v>672</v>
      </c>
      <c r="F257" s="163"/>
      <c r="G257" s="164" t="n">
        <v>6</v>
      </c>
      <c r="H257" s="138" t="s">
        <v>10</v>
      </c>
    </row>
    <row r="258" customHeight="true" ht="13.5">
      <c r="A258" s="140"/>
      <c r="C258" s="166" t="s">
        <v>131</v>
      </c>
      <c r="D258" s="142" t="s">
        <v>441</v>
      </c>
      <c r="E258" s="143"/>
      <c r="F258" s="143"/>
      <c r="G258" s="143"/>
      <c r="H258" s="165"/>
    </row>
    <row r="259">
      <c r="A259" s="9" t="s">
        <v>451</v>
      </c>
      <c r="B259" s="10" t="s">
        <v>10</v>
      </c>
      <c r="C259" s="10" t="s">
        <v>452</v>
      </c>
      <c r="D259" s="10" t="s">
        <v>453</v>
      </c>
      <c r="E259" s="10"/>
      <c r="F259" s="10" t="s">
        <v>200</v>
      </c>
      <c r="G259" s="136" t="n">
        <v>4</v>
      </c>
      <c r="H259" s="162" t="n">
        <v>0</v>
      </c>
    </row>
    <row r="260">
      <c r="A260" s="140"/>
      <c r="D260" s="163" t="s">
        <v>126</v>
      </c>
      <c r="E260" s="163" t="s">
        <v>10</v>
      </c>
      <c r="F260" s="163"/>
      <c r="G260" s="164" t="n">
        <v>4</v>
      </c>
      <c r="H260" s="165"/>
    </row>
    <row r="261">
      <c r="A261" s="9" t="s">
        <v>381</v>
      </c>
      <c r="B261" s="10" t="s">
        <v>10</v>
      </c>
      <c r="C261" s="10" t="s">
        <v>127</v>
      </c>
      <c r="D261" s="10" t="s">
        <v>128</v>
      </c>
      <c r="E261" s="10"/>
      <c r="F261" s="10" t="s">
        <v>129</v>
      </c>
      <c r="G261" s="136" t="n">
        <v>0.528</v>
      </c>
      <c r="H261" s="162" t="n">
        <v>0</v>
      </c>
    </row>
    <row r="262" customHeight="true" ht="27">
      <c r="A262" s="140"/>
      <c r="C262" s="166" t="s">
        <v>131</v>
      </c>
      <c r="D262" s="142" t="s">
        <v>132</v>
      </c>
      <c r="E262" s="143"/>
      <c r="F262" s="143"/>
      <c r="G262" s="143"/>
      <c r="H262" s="165"/>
    </row>
    <row r="263">
      <c r="A263" s="9" t="s">
        <v>454</v>
      </c>
      <c r="B263" s="10" t="s">
        <v>10</v>
      </c>
      <c r="C263" s="10" t="s">
        <v>168</v>
      </c>
      <c r="D263" s="10" t="s">
        <v>169</v>
      </c>
      <c r="E263" s="10"/>
      <c r="F263" s="10" t="s">
        <v>129</v>
      </c>
      <c r="G263" s="136" t="n">
        <v>0.528</v>
      </c>
      <c r="H263" s="162" t="n">
        <v>0</v>
      </c>
    </row>
    <row r="264" customHeight="true" ht="27">
      <c r="A264" s="140"/>
      <c r="C264" s="166" t="s">
        <v>131</v>
      </c>
      <c r="D264" s="142" t="s">
        <v>170</v>
      </c>
      <c r="E264" s="143"/>
      <c r="F264" s="143"/>
      <c r="G264" s="143"/>
      <c r="H264" s="165"/>
    </row>
    <row r="265">
      <c r="A265" s="167" t="s">
        <v>10</v>
      </c>
      <c r="B265" s="131" t="s">
        <v>10</v>
      </c>
      <c r="C265" s="131" t="s">
        <v>455</v>
      </c>
      <c r="D265" s="131" t="s">
        <v>456</v>
      </c>
      <c r="E265" s="131"/>
      <c r="F265" s="131" t="s">
        <v>10</v>
      </c>
      <c r="G265" s="112" t="s">
        <v>10</v>
      </c>
      <c r="H265" s="135" t="s">
        <v>10</v>
      </c>
    </row>
    <row r="266">
      <c r="A266" s="9" t="s">
        <v>389</v>
      </c>
      <c r="B266" s="10" t="s">
        <v>10</v>
      </c>
      <c r="C266" s="10" t="s">
        <v>457</v>
      </c>
      <c r="D266" s="10" t="s">
        <v>458</v>
      </c>
      <c r="E266" s="10"/>
      <c r="F266" s="10" t="s">
        <v>200</v>
      </c>
      <c r="G266" s="136" t="n">
        <v>10</v>
      </c>
      <c r="H266" s="162" t="n">
        <v>0</v>
      </c>
    </row>
    <row r="267">
      <c r="A267" s="140"/>
      <c r="D267" s="163" t="s">
        <v>673</v>
      </c>
      <c r="E267" s="163" t="s">
        <v>10</v>
      </c>
      <c r="F267" s="163"/>
      <c r="G267" s="164" t="n">
        <v>10</v>
      </c>
      <c r="H267" s="165"/>
    </row>
    <row r="268">
      <c r="A268" s="9" t="s">
        <v>461</v>
      </c>
      <c r="B268" s="10" t="s">
        <v>10</v>
      </c>
      <c r="C268" s="10" t="s">
        <v>462</v>
      </c>
      <c r="D268" s="10" t="s">
        <v>463</v>
      </c>
      <c r="E268" s="10"/>
      <c r="F268" s="10" t="s">
        <v>200</v>
      </c>
      <c r="G268" s="136" t="n">
        <v>7</v>
      </c>
      <c r="H268" s="162" t="n">
        <v>0</v>
      </c>
    </row>
    <row r="269">
      <c r="A269" s="140"/>
      <c r="D269" s="163" t="s">
        <v>141</v>
      </c>
      <c r="E269" s="163" t="s">
        <v>10</v>
      </c>
      <c r="F269" s="163"/>
      <c r="G269" s="164" t="n">
        <v>7</v>
      </c>
      <c r="H269" s="165"/>
    </row>
    <row r="270">
      <c r="A270" s="9" t="s">
        <v>464</v>
      </c>
      <c r="B270" s="10" t="s">
        <v>10</v>
      </c>
      <c r="C270" s="10" t="s">
        <v>465</v>
      </c>
      <c r="D270" s="10" t="s">
        <v>466</v>
      </c>
      <c r="E270" s="10"/>
      <c r="F270" s="10" t="s">
        <v>200</v>
      </c>
      <c r="G270" s="136" t="n">
        <v>12</v>
      </c>
      <c r="H270" s="162" t="n">
        <v>0</v>
      </c>
    </row>
    <row r="271">
      <c r="A271" s="140"/>
      <c r="D271" s="163" t="s">
        <v>674</v>
      </c>
      <c r="E271" s="163" t="s">
        <v>10</v>
      </c>
      <c r="F271" s="163"/>
      <c r="G271" s="164" t="n">
        <v>12</v>
      </c>
      <c r="H271" s="165"/>
    </row>
    <row r="272">
      <c r="A272" s="9" t="s">
        <v>467</v>
      </c>
      <c r="B272" s="10" t="s">
        <v>10</v>
      </c>
      <c r="C272" s="10" t="s">
        <v>468</v>
      </c>
      <c r="D272" s="10" t="s">
        <v>469</v>
      </c>
      <c r="E272" s="10"/>
      <c r="F272" s="10" t="s">
        <v>200</v>
      </c>
      <c r="G272" s="136" t="n">
        <v>8</v>
      </c>
      <c r="H272" s="162" t="n">
        <v>0</v>
      </c>
    </row>
    <row r="273">
      <c r="A273" s="140"/>
      <c r="D273" s="163" t="s">
        <v>144</v>
      </c>
      <c r="E273" s="163" t="s">
        <v>10</v>
      </c>
      <c r="F273" s="163"/>
      <c r="G273" s="164" t="n">
        <v>8</v>
      </c>
      <c r="H273" s="165"/>
    </row>
    <row r="274">
      <c r="A274" s="9" t="s">
        <v>470</v>
      </c>
      <c r="B274" s="10" t="s">
        <v>10</v>
      </c>
      <c r="C274" s="10" t="s">
        <v>471</v>
      </c>
      <c r="D274" s="10" t="s">
        <v>472</v>
      </c>
      <c r="E274" s="10"/>
      <c r="F274" s="10" t="s">
        <v>115</v>
      </c>
      <c r="G274" s="136" t="n">
        <v>121</v>
      </c>
      <c r="H274" s="162" t="n">
        <v>0</v>
      </c>
    </row>
    <row r="275">
      <c r="A275" s="140"/>
      <c r="D275" s="163" t="s">
        <v>675</v>
      </c>
      <c r="E275" s="163" t="s">
        <v>10</v>
      </c>
      <c r="F275" s="163"/>
      <c r="G275" s="164" t="n">
        <v>121</v>
      </c>
      <c r="H275" s="165"/>
    </row>
    <row r="276">
      <c r="A276" s="9" t="s">
        <v>474</v>
      </c>
      <c r="B276" s="10" t="s">
        <v>10</v>
      </c>
      <c r="C276" s="10" t="s">
        <v>475</v>
      </c>
      <c r="D276" s="10" t="s">
        <v>476</v>
      </c>
      <c r="E276" s="10"/>
      <c r="F276" s="10" t="s">
        <v>200</v>
      </c>
      <c r="G276" s="136" t="n">
        <v>4</v>
      </c>
      <c r="H276" s="162" t="n">
        <v>0</v>
      </c>
    </row>
    <row r="277">
      <c r="A277" s="140"/>
      <c r="D277" s="163" t="s">
        <v>126</v>
      </c>
      <c r="E277" s="163" t="s">
        <v>10</v>
      </c>
      <c r="F277" s="163"/>
      <c r="G277" s="164" t="n">
        <v>4</v>
      </c>
      <c r="H277" s="165"/>
    </row>
    <row r="278">
      <c r="A278" s="9" t="s">
        <v>477</v>
      </c>
      <c r="B278" s="10" t="s">
        <v>10</v>
      </c>
      <c r="C278" s="10" t="s">
        <v>478</v>
      </c>
      <c r="D278" s="10" t="s">
        <v>479</v>
      </c>
      <c r="E278" s="10"/>
      <c r="F278" s="10" t="s">
        <v>200</v>
      </c>
      <c r="G278" s="136" t="n">
        <v>4</v>
      </c>
      <c r="H278" s="162" t="n">
        <v>0</v>
      </c>
    </row>
    <row r="279">
      <c r="A279" s="140"/>
      <c r="D279" s="163" t="s">
        <v>126</v>
      </c>
      <c r="E279" s="163" t="s">
        <v>10</v>
      </c>
      <c r="F279" s="163"/>
      <c r="G279" s="164" t="n">
        <v>4</v>
      </c>
      <c r="H279" s="165"/>
    </row>
    <row r="280">
      <c r="A280" s="167" t="s">
        <v>10</v>
      </c>
      <c r="B280" s="131" t="s">
        <v>10</v>
      </c>
      <c r="C280" s="131" t="s">
        <v>480</v>
      </c>
      <c r="D280" s="131" t="s">
        <v>481</v>
      </c>
      <c r="E280" s="131"/>
      <c r="F280" s="131" t="s">
        <v>10</v>
      </c>
      <c r="G280" s="112" t="s">
        <v>10</v>
      </c>
      <c r="H280" s="135" t="s">
        <v>10</v>
      </c>
    </row>
    <row r="281">
      <c r="A281" s="9" t="s">
        <v>482</v>
      </c>
      <c r="B281" s="10" t="s">
        <v>10</v>
      </c>
      <c r="C281" s="10" t="s">
        <v>483</v>
      </c>
      <c r="D281" s="10" t="s">
        <v>484</v>
      </c>
      <c r="E281" s="10"/>
      <c r="F281" s="10" t="s">
        <v>115</v>
      </c>
      <c r="G281" s="136" t="n">
        <v>621</v>
      </c>
      <c r="H281" s="162" t="n">
        <v>0</v>
      </c>
    </row>
    <row r="282">
      <c r="A282" s="140"/>
      <c r="D282" s="163" t="s">
        <v>676</v>
      </c>
      <c r="E282" s="163" t="s">
        <v>10</v>
      </c>
      <c r="F282" s="163"/>
      <c r="G282" s="164" t="n">
        <v>621</v>
      </c>
      <c r="H282" s="165"/>
    </row>
    <row r="283">
      <c r="A283" s="9" t="s">
        <v>487</v>
      </c>
      <c r="B283" s="10" t="s">
        <v>10</v>
      </c>
      <c r="C283" s="10" t="s">
        <v>488</v>
      </c>
      <c r="D283" s="10" t="s">
        <v>489</v>
      </c>
      <c r="E283" s="10"/>
      <c r="F283" s="10" t="s">
        <v>115</v>
      </c>
      <c r="G283" s="136" t="n">
        <v>621</v>
      </c>
      <c r="H283" s="162" t="n">
        <v>0</v>
      </c>
    </row>
    <row r="284">
      <c r="A284" s="140"/>
      <c r="D284" s="163" t="s">
        <v>676</v>
      </c>
      <c r="E284" s="163" t="s">
        <v>10</v>
      </c>
      <c r="F284" s="163"/>
      <c r="G284" s="164" t="n">
        <v>621</v>
      </c>
      <c r="H284" s="165"/>
    </row>
    <row r="285">
      <c r="A285" s="9" t="s">
        <v>491</v>
      </c>
      <c r="B285" s="10" t="s">
        <v>10</v>
      </c>
      <c r="C285" s="10" t="s">
        <v>492</v>
      </c>
      <c r="D285" s="10" t="s">
        <v>493</v>
      </c>
      <c r="E285" s="10"/>
      <c r="F285" s="10" t="s">
        <v>115</v>
      </c>
      <c r="G285" s="136" t="n">
        <v>621</v>
      </c>
      <c r="H285" s="162" t="n">
        <v>0</v>
      </c>
    </row>
    <row r="286">
      <c r="A286" s="140"/>
      <c r="D286" s="163" t="s">
        <v>676</v>
      </c>
      <c r="E286" s="163" t="s">
        <v>10</v>
      </c>
      <c r="F286" s="163"/>
      <c r="G286" s="164" t="n">
        <v>621</v>
      </c>
      <c r="H286" s="165"/>
    </row>
    <row r="287">
      <c r="A287" s="9" t="s">
        <v>494</v>
      </c>
      <c r="B287" s="10" t="s">
        <v>10</v>
      </c>
      <c r="C287" s="10" t="s">
        <v>495</v>
      </c>
      <c r="D287" s="10" t="s">
        <v>496</v>
      </c>
      <c r="E287" s="10"/>
      <c r="F287" s="10" t="s">
        <v>115</v>
      </c>
      <c r="G287" s="136" t="n">
        <v>621</v>
      </c>
      <c r="H287" s="162" t="n">
        <v>0</v>
      </c>
    </row>
    <row r="288">
      <c r="A288" s="140"/>
      <c r="D288" s="163" t="s">
        <v>676</v>
      </c>
      <c r="E288" s="163" t="s">
        <v>10</v>
      </c>
      <c r="F288" s="163"/>
      <c r="G288" s="164" t="n">
        <v>621</v>
      </c>
      <c r="H288" s="165"/>
    </row>
    <row r="289">
      <c r="A289" s="9" t="s">
        <v>497</v>
      </c>
      <c r="B289" s="10" t="s">
        <v>10</v>
      </c>
      <c r="C289" s="10" t="s">
        <v>498</v>
      </c>
      <c r="D289" s="10" t="s">
        <v>499</v>
      </c>
      <c r="E289" s="10"/>
      <c r="F289" s="10" t="s">
        <v>200</v>
      </c>
      <c r="G289" s="136" t="n">
        <v>18</v>
      </c>
      <c r="H289" s="162" t="n">
        <v>0</v>
      </c>
    </row>
    <row r="290">
      <c r="A290" s="140"/>
      <c r="D290" s="163" t="s">
        <v>677</v>
      </c>
      <c r="E290" s="163" t="s">
        <v>10</v>
      </c>
      <c r="F290" s="163"/>
      <c r="G290" s="164" t="n">
        <v>18</v>
      </c>
      <c r="H290" s="165"/>
    </row>
    <row r="291">
      <c r="A291" s="9" t="s">
        <v>501</v>
      </c>
      <c r="B291" s="10" t="s">
        <v>10</v>
      </c>
      <c r="C291" s="10" t="s">
        <v>279</v>
      </c>
      <c r="D291" s="10" t="s">
        <v>280</v>
      </c>
      <c r="E291" s="10"/>
      <c r="F291" s="10" t="s">
        <v>175</v>
      </c>
      <c r="G291" s="136" t="n">
        <v>5.184</v>
      </c>
      <c r="H291" s="162" t="n">
        <v>0</v>
      </c>
    </row>
    <row r="292">
      <c r="A292" s="140"/>
      <c r="D292" s="163" t="s">
        <v>678</v>
      </c>
      <c r="E292" s="163" t="s">
        <v>679</v>
      </c>
      <c r="F292" s="163"/>
      <c r="G292" s="164" t="n">
        <v>5.184</v>
      </c>
      <c r="H292" s="165"/>
    </row>
    <row r="293">
      <c r="A293" s="9" t="s">
        <v>502</v>
      </c>
      <c r="B293" s="10" t="s">
        <v>10</v>
      </c>
      <c r="C293" s="10" t="s">
        <v>165</v>
      </c>
      <c r="D293" s="10" t="s">
        <v>166</v>
      </c>
      <c r="E293" s="10"/>
      <c r="F293" s="10" t="s">
        <v>129</v>
      </c>
      <c r="G293" s="136" t="n">
        <v>9.3312</v>
      </c>
      <c r="H293" s="162" t="n">
        <v>0</v>
      </c>
    </row>
    <row r="294">
      <c r="A294" s="140"/>
      <c r="D294" s="163" t="s">
        <v>680</v>
      </c>
      <c r="E294" s="163" t="s">
        <v>681</v>
      </c>
      <c r="F294" s="163"/>
      <c r="G294" s="164" t="n">
        <v>9.3312</v>
      </c>
      <c r="H294" s="165"/>
    </row>
    <row r="295">
      <c r="A295" s="9" t="s">
        <v>503</v>
      </c>
      <c r="B295" s="10" t="s">
        <v>10</v>
      </c>
      <c r="C295" s="10" t="s">
        <v>168</v>
      </c>
      <c r="D295" s="10" t="s">
        <v>169</v>
      </c>
      <c r="E295" s="10"/>
      <c r="F295" s="10" t="s">
        <v>129</v>
      </c>
      <c r="G295" s="136" t="n">
        <v>9.3312</v>
      </c>
      <c r="H295" s="162" t="n">
        <v>0</v>
      </c>
    </row>
    <row r="296">
      <c r="A296" s="140"/>
      <c r="D296" s="163" t="s">
        <v>680</v>
      </c>
      <c r="E296" s="163" t="s">
        <v>681</v>
      </c>
      <c r="F296" s="163"/>
      <c r="G296" s="164" t="n">
        <v>9.3312</v>
      </c>
      <c r="H296" s="165"/>
    </row>
    <row r="297" customHeight="true" ht="27">
      <c r="A297" s="140"/>
      <c r="C297" s="166" t="s">
        <v>131</v>
      </c>
      <c r="D297" s="142" t="s">
        <v>170</v>
      </c>
      <c r="E297" s="143"/>
      <c r="F297" s="143"/>
      <c r="G297" s="143"/>
      <c r="H297" s="165"/>
    </row>
    <row r="298">
      <c r="A298" s="167" t="s">
        <v>10</v>
      </c>
      <c r="B298" s="131" t="s">
        <v>10</v>
      </c>
      <c r="C298" s="131" t="s">
        <v>504</v>
      </c>
      <c r="D298" s="131" t="s">
        <v>505</v>
      </c>
      <c r="E298" s="131"/>
      <c r="F298" s="131" t="s">
        <v>10</v>
      </c>
      <c r="G298" s="112" t="s">
        <v>10</v>
      </c>
      <c r="H298" s="135" t="s">
        <v>10</v>
      </c>
    </row>
    <row r="299">
      <c r="A299" s="9" t="s">
        <v>506</v>
      </c>
      <c r="B299" s="10" t="s">
        <v>10</v>
      </c>
      <c r="C299" s="10" t="s">
        <v>507</v>
      </c>
      <c r="D299" s="10" t="s">
        <v>508</v>
      </c>
      <c r="E299" s="10"/>
      <c r="F299" s="10" t="s">
        <v>200</v>
      </c>
      <c r="G299" s="136" t="n">
        <v>12</v>
      </c>
      <c r="H299" s="162" t="n">
        <v>0</v>
      </c>
    </row>
    <row r="300">
      <c r="A300" s="140"/>
      <c r="D300" s="163" t="s">
        <v>156</v>
      </c>
      <c r="E300" s="163" t="s">
        <v>10</v>
      </c>
      <c r="F300" s="163"/>
      <c r="G300" s="164" t="n">
        <v>12</v>
      </c>
      <c r="H300" s="165"/>
    </row>
    <row r="301">
      <c r="A301" s="9" t="s">
        <v>510</v>
      </c>
      <c r="B301" s="10" t="s">
        <v>10</v>
      </c>
      <c r="C301" s="10" t="s">
        <v>511</v>
      </c>
      <c r="D301" s="10" t="s">
        <v>512</v>
      </c>
      <c r="E301" s="10"/>
      <c r="F301" s="10" t="s">
        <v>200</v>
      </c>
      <c r="G301" s="136" t="n">
        <v>4</v>
      </c>
      <c r="H301" s="162" t="n">
        <v>0</v>
      </c>
    </row>
    <row r="302">
      <c r="A302" s="140"/>
      <c r="D302" s="163" t="s">
        <v>123</v>
      </c>
      <c r="E302" s="163" t="s">
        <v>682</v>
      </c>
      <c r="F302" s="163"/>
      <c r="G302" s="164" t="n">
        <v>3</v>
      </c>
      <c r="H302" s="165"/>
    </row>
    <row r="303">
      <c r="A303" s="9" t="s">
        <v>10</v>
      </c>
      <c r="B303" s="10" t="s">
        <v>10</v>
      </c>
      <c r="C303" s="10" t="s">
        <v>10</v>
      </c>
      <c r="D303" s="163" t="s">
        <v>112</v>
      </c>
      <c r="E303" s="163" t="s">
        <v>683</v>
      </c>
      <c r="F303" s="163"/>
      <c r="G303" s="164" t="n">
        <v>1</v>
      </c>
      <c r="H303" s="138" t="s">
        <v>10</v>
      </c>
    </row>
    <row r="304" customHeight="true" ht="13.5">
      <c r="A304" s="140"/>
      <c r="C304" s="166" t="s">
        <v>131</v>
      </c>
      <c r="D304" s="142" t="s">
        <v>513</v>
      </c>
      <c r="E304" s="143"/>
      <c r="F304" s="143"/>
      <c r="G304" s="143"/>
      <c r="H304" s="165"/>
    </row>
    <row r="305">
      <c r="A305" s="9" t="s">
        <v>514</v>
      </c>
      <c r="B305" s="10" t="s">
        <v>10</v>
      </c>
      <c r="C305" s="10" t="s">
        <v>515</v>
      </c>
      <c r="D305" s="10" t="s">
        <v>516</v>
      </c>
      <c r="E305" s="10"/>
      <c r="F305" s="10" t="s">
        <v>200</v>
      </c>
      <c r="G305" s="136" t="n">
        <v>8</v>
      </c>
      <c r="H305" s="162" t="n">
        <v>0</v>
      </c>
    </row>
    <row r="306">
      <c r="A306" s="140"/>
      <c r="D306" s="163" t="s">
        <v>144</v>
      </c>
      <c r="E306" s="163" t="s">
        <v>10</v>
      </c>
      <c r="F306" s="163"/>
      <c r="G306" s="164" t="n">
        <v>8</v>
      </c>
      <c r="H306" s="165"/>
    </row>
    <row r="307" customHeight="true" ht="13.5">
      <c r="A307" s="140"/>
      <c r="C307" s="166" t="s">
        <v>131</v>
      </c>
      <c r="D307" s="142" t="s">
        <v>513</v>
      </c>
      <c r="E307" s="143"/>
      <c r="F307" s="143"/>
      <c r="G307" s="143"/>
      <c r="H307" s="165"/>
    </row>
    <row r="308">
      <c r="A308" s="9" t="s">
        <v>517</v>
      </c>
      <c r="B308" s="10" t="s">
        <v>10</v>
      </c>
      <c r="C308" s="10" t="s">
        <v>518</v>
      </c>
      <c r="D308" s="10" t="s">
        <v>519</v>
      </c>
      <c r="E308" s="10"/>
      <c r="F308" s="10" t="s">
        <v>115</v>
      </c>
      <c r="G308" s="136" t="n">
        <v>621</v>
      </c>
      <c r="H308" s="162" t="n">
        <v>0</v>
      </c>
    </row>
    <row r="309">
      <c r="A309" s="140"/>
      <c r="D309" s="163" t="s">
        <v>676</v>
      </c>
      <c r="E309" s="163" t="s">
        <v>10</v>
      </c>
      <c r="F309" s="163"/>
      <c r="G309" s="164" t="n">
        <v>621</v>
      </c>
      <c r="H309" s="165"/>
    </row>
    <row r="310">
      <c r="A310" s="9" t="s">
        <v>521</v>
      </c>
      <c r="B310" s="10" t="s">
        <v>10</v>
      </c>
      <c r="C310" s="10" t="s">
        <v>522</v>
      </c>
      <c r="D310" s="10" t="s">
        <v>523</v>
      </c>
      <c r="E310" s="10"/>
      <c r="F310" s="10" t="s">
        <v>115</v>
      </c>
      <c r="G310" s="136" t="n">
        <v>581</v>
      </c>
      <c r="H310" s="162" t="n">
        <v>0</v>
      </c>
    </row>
    <row r="311">
      <c r="A311" s="140"/>
      <c r="D311" s="163" t="s">
        <v>684</v>
      </c>
      <c r="E311" s="163" t="s">
        <v>10</v>
      </c>
      <c r="F311" s="163"/>
      <c r="G311" s="164" t="n">
        <v>581</v>
      </c>
      <c r="H311" s="165"/>
    </row>
    <row r="312">
      <c r="A312" s="9" t="s">
        <v>525</v>
      </c>
      <c r="B312" s="10" t="s">
        <v>10</v>
      </c>
      <c r="C312" s="10" t="s">
        <v>526</v>
      </c>
      <c r="D312" s="10" t="s">
        <v>527</v>
      </c>
      <c r="E312" s="10"/>
      <c r="F312" s="10" t="s">
        <v>115</v>
      </c>
      <c r="G312" s="136" t="n">
        <v>621</v>
      </c>
      <c r="H312" s="162" t="n">
        <v>0</v>
      </c>
    </row>
    <row r="313">
      <c r="A313" s="140"/>
      <c r="D313" s="163" t="s">
        <v>676</v>
      </c>
      <c r="E313" s="163" t="s">
        <v>10</v>
      </c>
      <c r="F313" s="163"/>
      <c r="G313" s="164" t="n">
        <v>621</v>
      </c>
      <c r="H313" s="165"/>
    </row>
    <row r="314">
      <c r="A314" s="167" t="s">
        <v>10</v>
      </c>
      <c r="B314" s="131" t="s">
        <v>10</v>
      </c>
      <c r="C314" s="131" t="s">
        <v>529</v>
      </c>
      <c r="D314" s="131" t="s">
        <v>530</v>
      </c>
      <c r="E314" s="131"/>
      <c r="F314" s="131" t="s">
        <v>10</v>
      </c>
      <c r="G314" s="112" t="s">
        <v>10</v>
      </c>
      <c r="H314" s="135" t="s">
        <v>10</v>
      </c>
    </row>
    <row r="315">
      <c r="A315" s="9" t="s">
        <v>531</v>
      </c>
      <c r="B315" s="10" t="s">
        <v>10</v>
      </c>
      <c r="C315" s="10" t="s">
        <v>532</v>
      </c>
      <c r="D315" s="10" t="s">
        <v>533</v>
      </c>
      <c r="E315" s="10"/>
      <c r="F315" s="10" t="s">
        <v>534</v>
      </c>
      <c r="G315" s="136" t="n">
        <v>1</v>
      </c>
      <c r="H315" s="162" t="n">
        <v>0</v>
      </c>
    </row>
    <row r="316">
      <c r="A316" s="140"/>
      <c r="D316" s="163" t="s">
        <v>112</v>
      </c>
      <c r="E316" s="163" t="s">
        <v>10</v>
      </c>
      <c r="F316" s="163"/>
      <c r="G316" s="164" t="n">
        <v>1</v>
      </c>
      <c r="H316" s="165"/>
    </row>
    <row r="317">
      <c r="A317" s="9" t="s">
        <v>536</v>
      </c>
      <c r="B317" s="10" t="s">
        <v>10</v>
      </c>
      <c r="C317" s="10" t="s">
        <v>537</v>
      </c>
      <c r="D317" s="10" t="s">
        <v>538</v>
      </c>
      <c r="E317" s="10"/>
      <c r="F317" s="10" t="s">
        <v>534</v>
      </c>
      <c r="G317" s="136" t="n">
        <v>1</v>
      </c>
      <c r="H317" s="162" t="n">
        <v>0</v>
      </c>
    </row>
    <row r="318">
      <c r="A318" s="140"/>
      <c r="D318" s="163" t="s">
        <v>112</v>
      </c>
      <c r="E318" s="163" t="s">
        <v>10</v>
      </c>
      <c r="F318" s="163"/>
      <c r="G318" s="164" t="n">
        <v>1</v>
      </c>
      <c r="H318" s="165"/>
    </row>
    <row r="319">
      <c r="A319" s="9" t="s">
        <v>539</v>
      </c>
      <c r="B319" s="10" t="s">
        <v>10</v>
      </c>
      <c r="C319" s="10" t="s">
        <v>540</v>
      </c>
      <c r="D319" s="10" t="s">
        <v>541</v>
      </c>
      <c r="E319" s="10"/>
      <c r="F319" s="10" t="s">
        <v>534</v>
      </c>
      <c r="G319" s="136" t="n">
        <v>3</v>
      </c>
      <c r="H319" s="162" t="n">
        <v>0</v>
      </c>
    </row>
    <row r="320">
      <c r="A320" s="140"/>
      <c r="D320" s="163" t="s">
        <v>123</v>
      </c>
      <c r="E320" s="163" t="s">
        <v>10</v>
      </c>
      <c r="F320" s="163"/>
      <c r="G320" s="164" t="n">
        <v>3</v>
      </c>
      <c r="H320" s="165"/>
    </row>
    <row r="321">
      <c r="A321" s="9" t="s">
        <v>542</v>
      </c>
      <c r="B321" s="10" t="s">
        <v>10</v>
      </c>
      <c r="C321" s="10" t="s">
        <v>543</v>
      </c>
      <c r="D321" s="10" t="s">
        <v>544</v>
      </c>
      <c r="E321" s="10"/>
      <c r="F321" s="10" t="s">
        <v>534</v>
      </c>
      <c r="G321" s="136" t="n">
        <v>1</v>
      </c>
      <c r="H321" s="162" t="n">
        <v>0</v>
      </c>
    </row>
    <row r="322">
      <c r="A322" s="140"/>
      <c r="D322" s="163" t="s">
        <v>112</v>
      </c>
      <c r="E322" s="163" t="s">
        <v>10</v>
      </c>
      <c r="F322" s="163"/>
      <c r="G322" s="164" t="n">
        <v>1</v>
      </c>
      <c r="H322" s="165"/>
    </row>
    <row r="323">
      <c r="A323" s="9" t="s">
        <v>545</v>
      </c>
      <c r="B323" s="10" t="s">
        <v>10</v>
      </c>
      <c r="C323" s="10" t="s">
        <v>546</v>
      </c>
      <c r="D323" s="10" t="s">
        <v>547</v>
      </c>
      <c r="E323" s="10"/>
      <c r="F323" s="10" t="s">
        <v>534</v>
      </c>
      <c r="G323" s="136" t="n">
        <v>3</v>
      </c>
      <c r="H323" s="162" t="n">
        <v>0</v>
      </c>
    </row>
    <row r="324">
      <c r="A324" s="140"/>
      <c r="D324" s="163" t="s">
        <v>123</v>
      </c>
      <c r="E324" s="163" t="s">
        <v>10</v>
      </c>
      <c r="F324" s="163"/>
      <c r="G324" s="164" t="n">
        <v>3</v>
      </c>
      <c r="H324" s="165"/>
    </row>
    <row r="325">
      <c r="A325" s="9" t="s">
        <v>548</v>
      </c>
      <c r="B325" s="10" t="s">
        <v>10</v>
      </c>
      <c r="C325" s="10" t="s">
        <v>549</v>
      </c>
      <c r="D325" s="10" t="s">
        <v>550</v>
      </c>
      <c r="E325" s="10"/>
      <c r="F325" s="10" t="s">
        <v>534</v>
      </c>
      <c r="G325" s="136" t="n">
        <v>20</v>
      </c>
      <c r="H325" s="162" t="n">
        <v>0</v>
      </c>
    </row>
    <row r="326">
      <c r="A326" s="140"/>
      <c r="D326" s="163" t="s">
        <v>180</v>
      </c>
      <c r="E326" s="163" t="s">
        <v>685</v>
      </c>
      <c r="F326" s="163"/>
      <c r="G326" s="164" t="n">
        <v>20</v>
      </c>
      <c r="H326" s="165"/>
    </row>
    <row r="327">
      <c r="A327" s="9" t="s">
        <v>551</v>
      </c>
      <c r="B327" s="10" t="s">
        <v>10</v>
      </c>
      <c r="C327" s="10" t="s">
        <v>552</v>
      </c>
      <c r="D327" s="10" t="s">
        <v>553</v>
      </c>
      <c r="E327" s="10"/>
      <c r="F327" s="10" t="s">
        <v>554</v>
      </c>
      <c r="G327" s="136" t="n">
        <v>5</v>
      </c>
      <c r="H327" s="162" t="n">
        <v>0</v>
      </c>
    </row>
    <row r="328">
      <c r="A328" s="140"/>
      <c r="D328" s="163" t="s">
        <v>130</v>
      </c>
      <c r="E328" s="163" t="s">
        <v>10</v>
      </c>
      <c r="F328" s="163"/>
      <c r="G328" s="164" t="n">
        <v>5</v>
      </c>
      <c r="H328" s="165"/>
    </row>
    <row r="329">
      <c r="A329" s="9" t="s">
        <v>555</v>
      </c>
      <c r="B329" s="10" t="s">
        <v>10</v>
      </c>
      <c r="C329" s="10" t="s">
        <v>556</v>
      </c>
      <c r="D329" s="10" t="s">
        <v>557</v>
      </c>
      <c r="E329" s="10"/>
      <c r="F329" s="10" t="s">
        <v>534</v>
      </c>
      <c r="G329" s="136" t="n">
        <v>5</v>
      </c>
      <c r="H329" s="162" t="n">
        <v>0</v>
      </c>
    </row>
    <row r="330">
      <c r="A330" s="140"/>
      <c r="D330" s="163" t="s">
        <v>130</v>
      </c>
      <c r="E330" s="163" t="s">
        <v>10</v>
      </c>
      <c r="F330" s="163"/>
      <c r="G330" s="164" t="n">
        <v>5</v>
      </c>
      <c r="H330" s="165"/>
    </row>
    <row r="331">
      <c r="A331" s="9" t="s">
        <v>558</v>
      </c>
      <c r="B331" s="10" t="s">
        <v>10</v>
      </c>
      <c r="C331" s="10" t="s">
        <v>559</v>
      </c>
      <c r="D331" s="10" t="s">
        <v>560</v>
      </c>
      <c r="E331" s="10"/>
      <c r="F331" s="10" t="s">
        <v>534</v>
      </c>
      <c r="G331" s="136" t="n">
        <v>10</v>
      </c>
      <c r="H331" s="162" t="n">
        <v>0</v>
      </c>
    </row>
    <row r="332">
      <c r="A332" s="140"/>
      <c r="D332" s="163" t="s">
        <v>149</v>
      </c>
      <c r="E332" s="163" t="s">
        <v>10</v>
      </c>
      <c r="F332" s="163"/>
      <c r="G332" s="164" t="n">
        <v>10</v>
      </c>
      <c r="H332" s="165"/>
    </row>
    <row r="333">
      <c r="A333" s="9" t="s">
        <v>561</v>
      </c>
      <c r="B333" s="10" t="s">
        <v>10</v>
      </c>
      <c r="C333" s="10" t="s">
        <v>562</v>
      </c>
      <c r="D333" s="10" t="s">
        <v>563</v>
      </c>
      <c r="E333" s="10"/>
      <c r="F333" s="10" t="s">
        <v>534</v>
      </c>
      <c r="G333" s="136" t="n">
        <v>1</v>
      </c>
      <c r="H333" s="162" t="n">
        <v>0</v>
      </c>
    </row>
    <row r="334">
      <c r="A334" s="140"/>
      <c r="D334" s="163" t="s">
        <v>112</v>
      </c>
      <c r="E334" s="163" t="s">
        <v>10</v>
      </c>
      <c r="F334" s="163"/>
      <c r="G334" s="164" t="n">
        <v>1</v>
      </c>
      <c r="H334" s="165"/>
    </row>
    <row r="335">
      <c r="A335" s="9" t="s">
        <v>564</v>
      </c>
      <c r="B335" s="10" t="s">
        <v>10</v>
      </c>
      <c r="C335" s="10" t="s">
        <v>565</v>
      </c>
      <c r="D335" s="10" t="s">
        <v>566</v>
      </c>
      <c r="E335" s="10"/>
      <c r="F335" s="10" t="s">
        <v>534</v>
      </c>
      <c r="G335" s="136" t="n">
        <v>1</v>
      </c>
      <c r="H335" s="162" t="n">
        <v>0</v>
      </c>
    </row>
    <row r="336">
      <c r="A336" s="140"/>
      <c r="D336" s="163" t="s">
        <v>112</v>
      </c>
      <c r="E336" s="163" t="s">
        <v>10</v>
      </c>
      <c r="F336" s="163"/>
      <c r="G336" s="164" t="n">
        <v>1</v>
      </c>
      <c r="H336" s="165"/>
    </row>
    <row r="337">
      <c r="A337" s="9" t="s">
        <v>567</v>
      </c>
      <c r="B337" s="10" t="s">
        <v>10</v>
      </c>
      <c r="C337" s="10" t="s">
        <v>568</v>
      </c>
      <c r="D337" s="10" t="s">
        <v>569</v>
      </c>
      <c r="E337" s="10"/>
      <c r="F337" s="10" t="s">
        <v>534</v>
      </c>
      <c r="G337" s="136" t="n">
        <v>1</v>
      </c>
      <c r="H337" s="162" t="n">
        <v>0</v>
      </c>
    </row>
    <row r="338">
      <c r="A338" s="168"/>
      <c r="B338" s="169"/>
      <c r="C338" s="169"/>
      <c r="D338" s="170" t="s">
        <v>112</v>
      </c>
      <c r="E338" s="170" t="s">
        <v>10</v>
      </c>
      <c r="F338" s="170"/>
      <c r="G338" s="171" t="n">
        <v>1</v>
      </c>
      <c r="H338" s="172"/>
    </row>
    <row r="340">
      <c r="A340" s="152" t="s">
        <v>58</v>
      </c>
    </row>
    <row r="341" customHeight="true" ht="12.75">
      <c r="A341" s="14" t="s">
        <v>10</v>
      </c>
      <c r="B341" s="10"/>
      <c r="C341" s="10"/>
      <c r="D341" s="10"/>
      <c r="E341" s="10"/>
      <c r="F341" s="10"/>
      <c r="G341" s="10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8B3"/>
  <mergeCells>
    <mergeCell ref="A1:H1"/>
    <mergeCell ref="A2:B3"/>
    <mergeCell ref="A4:B5"/>
    <mergeCell ref="A6:B7"/>
    <mergeCell ref="A8:B9"/>
    <mergeCell ref="E2:E3"/>
    <mergeCell ref="E4:E5"/>
    <mergeCell ref="E6:E7"/>
    <mergeCell ref="E8:E9"/>
    <mergeCell ref="C2:D3"/>
    <mergeCell ref="C4:D5"/>
    <mergeCell ref="C6:D7"/>
    <mergeCell ref="C8:D9"/>
    <mergeCell ref="F2:H3"/>
    <mergeCell ref="F4:H5"/>
    <mergeCell ref="F6:H7"/>
    <mergeCell ref="F8:H9"/>
    <mergeCell ref="D10:E10"/>
    <mergeCell ref="D11:E11"/>
    <mergeCell ref="D12:E12"/>
    <mergeCell ref="E13:F13"/>
    <mergeCell ref="D14:E14"/>
    <mergeCell ref="E15:F15"/>
    <mergeCell ref="D16:E16"/>
    <mergeCell ref="E17:F17"/>
    <mergeCell ref="D18:E18"/>
    <mergeCell ref="D19:G19"/>
    <mergeCell ref="D20:E20"/>
    <mergeCell ref="E21:F21"/>
    <mergeCell ref="D22:G22"/>
    <mergeCell ref="D23:E23"/>
    <mergeCell ref="D24:G24"/>
    <mergeCell ref="D25:E25"/>
    <mergeCell ref="E26:F26"/>
    <mergeCell ref="D27:E27"/>
    <mergeCell ref="E28:F28"/>
    <mergeCell ref="D29:G29"/>
    <mergeCell ref="D30:E30"/>
    <mergeCell ref="D31:G31"/>
    <mergeCell ref="D32:E32"/>
    <mergeCell ref="E33:F33"/>
    <mergeCell ref="D34:G34"/>
    <mergeCell ref="D35:E35"/>
    <mergeCell ref="D36:G36"/>
    <mergeCell ref="D37:E37"/>
    <mergeCell ref="E38:F38"/>
    <mergeCell ref="D39:E39"/>
    <mergeCell ref="D40:G40"/>
    <mergeCell ref="D41:E41"/>
    <mergeCell ref="E42:F42"/>
    <mergeCell ref="D43:G43"/>
    <mergeCell ref="D44:E44"/>
    <mergeCell ref="E45:F45"/>
    <mergeCell ref="D46:E46"/>
    <mergeCell ref="D47:G47"/>
    <mergeCell ref="D48:E48"/>
    <mergeCell ref="D49:E49"/>
    <mergeCell ref="E50:F50"/>
    <mergeCell ref="D51:E51"/>
    <mergeCell ref="E52:F52"/>
    <mergeCell ref="D53:G53"/>
    <mergeCell ref="D54:E54"/>
    <mergeCell ref="E55:F55"/>
    <mergeCell ref="D56:E56"/>
    <mergeCell ref="D57:E57"/>
    <mergeCell ref="E58:F58"/>
    <mergeCell ref="E59:F59"/>
    <mergeCell ref="D60:E60"/>
    <mergeCell ref="E61:F61"/>
    <mergeCell ref="D62:G62"/>
    <mergeCell ref="D63:E63"/>
    <mergeCell ref="E64:F64"/>
    <mergeCell ref="D65:E65"/>
    <mergeCell ref="E66:F66"/>
    <mergeCell ref="D67:G67"/>
    <mergeCell ref="D68:E68"/>
    <mergeCell ref="D69:E69"/>
    <mergeCell ref="E70:F70"/>
    <mergeCell ref="E71:F71"/>
    <mergeCell ref="D72:G72"/>
    <mergeCell ref="D73:E73"/>
    <mergeCell ref="D74:E74"/>
    <mergeCell ref="E75:F75"/>
    <mergeCell ref="D76:E76"/>
    <mergeCell ref="E77:F77"/>
    <mergeCell ref="D78:G78"/>
    <mergeCell ref="D79:E79"/>
    <mergeCell ref="E80:F80"/>
    <mergeCell ref="D81:E81"/>
    <mergeCell ref="E82:F82"/>
    <mergeCell ref="D83:E83"/>
    <mergeCell ref="E84:F84"/>
    <mergeCell ref="E85:F85"/>
    <mergeCell ref="D86:E86"/>
    <mergeCell ref="D87:E87"/>
    <mergeCell ref="E88:F88"/>
    <mergeCell ref="D89:E89"/>
    <mergeCell ref="E90:F90"/>
    <mergeCell ref="D91:E91"/>
    <mergeCell ref="E92:F92"/>
    <mergeCell ref="D93:E93"/>
    <mergeCell ref="E94:F94"/>
    <mergeCell ref="E95:F95"/>
    <mergeCell ref="D96:G96"/>
    <mergeCell ref="D97:E97"/>
    <mergeCell ref="D98:E98"/>
    <mergeCell ref="E99:F99"/>
    <mergeCell ref="D100:G100"/>
    <mergeCell ref="D101:E101"/>
    <mergeCell ref="E102:F102"/>
    <mergeCell ref="D103:E103"/>
    <mergeCell ref="E104:F104"/>
    <mergeCell ref="D105:E105"/>
    <mergeCell ref="E106:F106"/>
    <mergeCell ref="D107:E107"/>
    <mergeCell ref="E108:F108"/>
    <mergeCell ref="D109:E109"/>
    <mergeCell ref="E110:F110"/>
    <mergeCell ref="D111:E111"/>
    <mergeCell ref="E112:F112"/>
    <mergeCell ref="D113:G113"/>
    <mergeCell ref="D114:E114"/>
    <mergeCell ref="E115:F115"/>
    <mergeCell ref="D116:E116"/>
    <mergeCell ref="D117:E117"/>
    <mergeCell ref="E118:F118"/>
    <mergeCell ref="D119:G119"/>
    <mergeCell ref="D120:E120"/>
    <mergeCell ref="E121:F121"/>
    <mergeCell ref="D122:E122"/>
    <mergeCell ref="E123:F123"/>
    <mergeCell ref="D124:G124"/>
    <mergeCell ref="D125:E125"/>
    <mergeCell ref="E126:F126"/>
    <mergeCell ref="D127:E127"/>
    <mergeCell ref="E128:F128"/>
    <mergeCell ref="D129:E129"/>
    <mergeCell ref="E130:F130"/>
    <mergeCell ref="D131:G131"/>
    <mergeCell ref="D132:E132"/>
    <mergeCell ref="D133:E133"/>
    <mergeCell ref="E134:F134"/>
    <mergeCell ref="D135:E135"/>
    <mergeCell ref="E136:F136"/>
    <mergeCell ref="D137:E137"/>
    <mergeCell ref="E138:F138"/>
    <mergeCell ref="D139:E139"/>
    <mergeCell ref="E140:F140"/>
    <mergeCell ref="E141:F141"/>
    <mergeCell ref="D142:E142"/>
    <mergeCell ref="E143:F143"/>
    <mergeCell ref="D144:E144"/>
    <mergeCell ref="E145:F145"/>
    <mergeCell ref="D146:E146"/>
    <mergeCell ref="E147:F147"/>
    <mergeCell ref="D148:E148"/>
    <mergeCell ref="D149:E149"/>
    <mergeCell ref="E150:F150"/>
    <mergeCell ref="D151:E151"/>
    <mergeCell ref="E152:F152"/>
    <mergeCell ref="E153:F153"/>
    <mergeCell ref="D154:E154"/>
    <mergeCell ref="E155:F155"/>
    <mergeCell ref="E156:F156"/>
    <mergeCell ref="D157:G157"/>
    <mergeCell ref="D158:E158"/>
    <mergeCell ref="E159:F159"/>
    <mergeCell ref="D160:E160"/>
    <mergeCell ref="E161:F161"/>
    <mergeCell ref="D162:E162"/>
    <mergeCell ref="E163:F163"/>
    <mergeCell ref="D164:G164"/>
    <mergeCell ref="D165:E165"/>
    <mergeCell ref="D166:E166"/>
    <mergeCell ref="E167:F167"/>
    <mergeCell ref="D168:E168"/>
    <mergeCell ref="E169:F169"/>
    <mergeCell ref="E170:F170"/>
    <mergeCell ref="D171:G171"/>
    <mergeCell ref="D172:E172"/>
    <mergeCell ref="E173:F173"/>
    <mergeCell ref="D174:G174"/>
    <mergeCell ref="D175:E175"/>
    <mergeCell ref="E176:F176"/>
    <mergeCell ref="E177:F177"/>
    <mergeCell ref="D178:E178"/>
    <mergeCell ref="E179:F179"/>
    <mergeCell ref="E180:F180"/>
    <mergeCell ref="E181:F181"/>
    <mergeCell ref="D182:G182"/>
    <mergeCell ref="D183:E183"/>
    <mergeCell ref="E184:F184"/>
    <mergeCell ref="E185:F185"/>
    <mergeCell ref="E186:F186"/>
    <mergeCell ref="E187:F187"/>
    <mergeCell ref="D188:G188"/>
    <mergeCell ref="D189:E189"/>
    <mergeCell ref="E190:F190"/>
    <mergeCell ref="E191:F191"/>
    <mergeCell ref="D192:G192"/>
    <mergeCell ref="D193:E193"/>
    <mergeCell ref="E194:F194"/>
    <mergeCell ref="D195:E195"/>
    <mergeCell ref="D196:E196"/>
    <mergeCell ref="E197:F197"/>
    <mergeCell ref="D198:E198"/>
    <mergeCell ref="D199:G199"/>
    <mergeCell ref="D200:E200"/>
    <mergeCell ref="D201:E201"/>
    <mergeCell ref="E202:F202"/>
    <mergeCell ref="D203:G203"/>
    <mergeCell ref="D204:E204"/>
    <mergeCell ref="D205:E205"/>
    <mergeCell ref="E206:F206"/>
    <mergeCell ref="E207:F207"/>
    <mergeCell ref="D208:G208"/>
    <mergeCell ref="D209:E209"/>
    <mergeCell ref="D210:E210"/>
    <mergeCell ref="E211:F211"/>
    <mergeCell ref="D212:E212"/>
    <mergeCell ref="E213:F213"/>
    <mergeCell ref="D214:E214"/>
    <mergeCell ref="E215:F215"/>
    <mergeCell ref="D216:G216"/>
    <mergeCell ref="D217:E217"/>
    <mergeCell ref="E218:F218"/>
    <mergeCell ref="D219:G219"/>
    <mergeCell ref="D220:E220"/>
    <mergeCell ref="E221:F221"/>
    <mergeCell ref="D222:G222"/>
    <mergeCell ref="D223:E223"/>
    <mergeCell ref="E224:F224"/>
    <mergeCell ref="E225:F225"/>
    <mergeCell ref="D226:E226"/>
    <mergeCell ref="E227:F227"/>
    <mergeCell ref="E228:F228"/>
    <mergeCell ref="E229:F229"/>
    <mergeCell ref="D230:G230"/>
    <mergeCell ref="D231:E231"/>
    <mergeCell ref="E232:F232"/>
    <mergeCell ref="D233:G233"/>
    <mergeCell ref="D234:E234"/>
    <mergeCell ref="E235:F235"/>
    <mergeCell ref="E236:F236"/>
    <mergeCell ref="D237:G237"/>
    <mergeCell ref="D238:E238"/>
    <mergeCell ref="E239:F239"/>
    <mergeCell ref="E240:F240"/>
    <mergeCell ref="D241:G241"/>
    <mergeCell ref="D242:E242"/>
    <mergeCell ref="E243:F243"/>
    <mergeCell ref="D244:G244"/>
    <mergeCell ref="D245:E245"/>
    <mergeCell ref="E246:F246"/>
    <mergeCell ref="D247:G247"/>
    <mergeCell ref="D248:E248"/>
    <mergeCell ref="E249:F249"/>
    <mergeCell ref="D250:E250"/>
    <mergeCell ref="E251:F251"/>
    <mergeCell ref="E252:F252"/>
    <mergeCell ref="E253:F253"/>
    <mergeCell ref="D254:E254"/>
    <mergeCell ref="E255:F255"/>
    <mergeCell ref="E256:F256"/>
    <mergeCell ref="E257:F257"/>
    <mergeCell ref="D258:G258"/>
    <mergeCell ref="D259:E259"/>
    <mergeCell ref="E260:F260"/>
    <mergeCell ref="D261:E261"/>
    <mergeCell ref="D262:G262"/>
    <mergeCell ref="D263:E263"/>
    <mergeCell ref="D264:G264"/>
    <mergeCell ref="D265:E265"/>
    <mergeCell ref="D266:E266"/>
    <mergeCell ref="E267:F267"/>
    <mergeCell ref="D268:E268"/>
    <mergeCell ref="E269:F269"/>
    <mergeCell ref="D270:E270"/>
    <mergeCell ref="E271:F271"/>
    <mergeCell ref="D272:E272"/>
    <mergeCell ref="E273:F273"/>
    <mergeCell ref="D274:E274"/>
    <mergeCell ref="E275:F275"/>
    <mergeCell ref="D276:E276"/>
    <mergeCell ref="E277:F277"/>
    <mergeCell ref="D278:E278"/>
    <mergeCell ref="E279:F279"/>
    <mergeCell ref="D280:E280"/>
    <mergeCell ref="D281:E281"/>
    <mergeCell ref="E282:F282"/>
    <mergeCell ref="D283:E283"/>
    <mergeCell ref="E284:F284"/>
    <mergeCell ref="D285:E285"/>
    <mergeCell ref="E286:F286"/>
    <mergeCell ref="D287:E287"/>
    <mergeCell ref="E288:F288"/>
    <mergeCell ref="D289:E289"/>
    <mergeCell ref="E290:F290"/>
    <mergeCell ref="D291:E291"/>
    <mergeCell ref="E292:F292"/>
    <mergeCell ref="D293:E293"/>
    <mergeCell ref="E294:F294"/>
    <mergeCell ref="D295:E295"/>
    <mergeCell ref="E296:F296"/>
    <mergeCell ref="D297:G297"/>
    <mergeCell ref="D298:E298"/>
    <mergeCell ref="D299:E299"/>
    <mergeCell ref="E300:F300"/>
    <mergeCell ref="D301:E301"/>
    <mergeCell ref="E302:F302"/>
    <mergeCell ref="E303:F303"/>
    <mergeCell ref="D304:G304"/>
    <mergeCell ref="D305:E305"/>
    <mergeCell ref="E306:F306"/>
    <mergeCell ref="D307:G307"/>
    <mergeCell ref="D308:E308"/>
    <mergeCell ref="E309:F309"/>
    <mergeCell ref="D310:E310"/>
    <mergeCell ref="E311:F311"/>
    <mergeCell ref="D312:E312"/>
    <mergeCell ref="E313:F313"/>
    <mergeCell ref="D314:E314"/>
    <mergeCell ref="D315:E315"/>
    <mergeCell ref="E316:F316"/>
    <mergeCell ref="D317:E317"/>
    <mergeCell ref="E318:F318"/>
    <mergeCell ref="D319:E319"/>
    <mergeCell ref="E320:F320"/>
    <mergeCell ref="D321:E321"/>
    <mergeCell ref="E322:F322"/>
    <mergeCell ref="D323:E323"/>
    <mergeCell ref="E324:F324"/>
    <mergeCell ref="D325:E325"/>
    <mergeCell ref="E326:F326"/>
    <mergeCell ref="D327:E327"/>
    <mergeCell ref="E328:F328"/>
    <mergeCell ref="D329:E329"/>
    <mergeCell ref="E330:F330"/>
    <mergeCell ref="D331:E331"/>
    <mergeCell ref="E332:F332"/>
    <mergeCell ref="D333:E333"/>
    <mergeCell ref="E334:F334"/>
    <mergeCell ref="D335:E335"/>
    <mergeCell ref="E336:F336"/>
    <mergeCell ref="D337:E337"/>
    <mergeCell ref="E338:F338"/>
    <mergeCell ref="A341:G341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>HP</dc:creator>
  <cp:lastModifiedBy>HP</cp:lastModifiedBy>
  <dcterms:created xsi:type="dcterms:W3CDTF">2021-06-10T20:06:38.031Z</dcterms:created>
  <dcterms:modified xsi:type="dcterms:W3CDTF">2021-06-10T20:06:38.351Z</dcterms:modified>
</cp:coreProperties>
</file>