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Krycí list rozpočtu" sheetId="1" r:id="rId1"/>
    <sheet name="VORN" sheetId="2" state="hidden" r:id="rId2"/>
    <sheet name="Rozpočet - objekty" sheetId="3" r:id="rId3"/>
    <sheet name="Stavební rozpočet" sheetId="4" r:id="rId4"/>
    <sheet name="Výkaz výměr" sheetId="5" r:id="rId5"/>
  </sheets>
  <definedNames>
    <definedName name="vorn_sum">VORN!$I$36</definedName>
  </definedNames>
  <calcPr refMode="A1"/>
</workbook>
</file>

<file path=xl/sharedStrings.xml><?xml version="1.0" encoding="utf-8"?>
<sst xmlns="http://schemas.openxmlformats.org/spreadsheetml/2006/main" count="379" uniqueCount="379">
  <si>
    <t>Krycí list slepého rozpočtu</t>
  </si>
  <si>
    <t>Název stavby:</t>
  </si>
  <si>
    <t>Objednatel:</t>
  </si>
  <si>
    <t>IČO/DIČ:</t>
  </si>
  <si>
    <t>00255661/CZ00255661</t>
  </si>
  <si>
    <t>Druh stavby:</t>
  </si>
  <si>
    <t>Projektant:</t>
  </si>
  <si>
    <t>28098064/CZ28098064</t>
  </si>
  <si>
    <t>Lokalita:</t>
  </si>
  <si>
    <t>Zhotovitel:</t>
  </si>
  <si>
    <t/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</si>
  <si>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</si>
  <si>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</si>
  <si>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</si>
  <si>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</si>
  <si>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</si>
  <si>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</si>
  <si>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</si>
  <si>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</si>
  <si>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</si>
  <si>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</si>
  <si>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</si>
  <si>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</si>
  <si>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</si>
  <si>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</si>
  <si>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</si>
  <si>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</si>
  <si>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</si>
  <si>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</si>
  <si>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</si>
  <si>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</si>
  <si>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</si>
  <si>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</si>
  <si>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</si>
  <si>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</si>
  <si>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</si>
  <si>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</si>
  <si>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</si>
  <si>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</si>
  <si>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</si>
  <si>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</si>
  <si>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</si>
  <si>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</si>
  <si>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</si>
  <si>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</si>
  <si>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</si>
  <si>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</si>
  <si>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</si>
  <si>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</si>
  <si>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</si>
  <si>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</si>
  <si>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</si>
  <si>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</si>
  <si>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</si>
  <si>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</si>
  <si>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</si>
  <si>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</si>
  <si>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</si>
  <si>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</si>
  <si>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</si>
  <si>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</si>
  <si>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</si>
  <si>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</si>
  <si>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</si>
  <si>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</si>
  <si>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</si>
  <si>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</si>
  <si>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</si>
  <si>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</si>
  <si>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</si>
  <si>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</si>
  <si>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 - Jen objekty celkem</t>
  </si>
  <si>
    <t>Doba výstavby:</t>
  </si>
  <si>
    <t>Zpracováno dne:</t>
  </si>
  <si>
    <t xml:space="preserve"> </t>
  </si>
  <si>
    <t>Náklady (Kč)</t>
  </si>
  <si>
    <t>Zkrácený popis</t>
  </si>
  <si>
    <t>Dodávka</t>
  </si>
  <si>
    <t>Celkem</t>
  </si>
  <si>
    <t>úsek Harfa - Na Klášterce (způs. výd.)</t>
  </si>
  <si>
    <t>F</t>
  </si>
  <si>
    <t>SO 03a</t>
  </si>
  <si>
    <t>úsek Harfa - Na Klášterce (nezpůs. výd.)</t>
  </si>
  <si>
    <t>SO 03b</t>
  </si>
  <si>
    <t>Celkem:</t>
  </si>
  <si>
    <t>Slepý stavební rozpočet</t>
  </si>
  <si>
    <t>Stezky pro chodce a cyklisty Klatovy</t>
  </si>
  <si>
    <t>Město Klatovy</t>
  </si>
  <si>
    <t>úsek Harfa - Na Klášterce</t>
  </si>
  <si>
    <t>PSDS s.r.o.</t>
  </si>
  <si>
    <t> </t>
  </si>
  <si>
    <t>19.05.2024</t>
  </si>
  <si>
    <t>Č</t>
  </si>
  <si>
    <t>Kód</t>
  </si>
  <si>
    <t>Zkrácený popis / Varianta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</si>
  <si>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</si>
  <si>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</si>
  <si>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</si>
  <si>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</si>
  <si>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</si>
  <si>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</si>
  <si>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</si>
  <si>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</si>
  <si>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</si>
  <si>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</si>
  <si>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</si>
  <si>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</si>
  <si>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</si>
  <si>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</si>
  <si>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</si>
  <si>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</si>
  <si>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</si>
  <si>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</si>
  <si>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</si>
  <si>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</si>
  <si>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</si>
  <si>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</si>
  <si>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12</t>
  </si>
  <si>
    <t>Odkopávky a prokopávky</t>
  </si>
  <si>
    <t>1</t>
  </si>
  <si>
    <t>121101101R00</t>
  </si>
  <si>
    <t>Sejmutí ornice s přemístěním do 50 m</t>
  </si>
  <si>
    <t>m3</t>
  </si>
  <si>
    <t>RTS I / 2024</t>
  </si>
  <si>
    <t>12_</t>
  </si>
  <si>
    <t>SO 03a_1_</t>
  </si>
  <si>
    <t>SO 03a_</t>
  </si>
  <si>
    <t>2</t>
  </si>
  <si>
    <t>122102201R00</t>
  </si>
  <si>
    <t>Odkopávky pro silnice v hor. 2 do 100 m3</t>
  </si>
  <si>
    <t>3</t>
  </si>
  <si>
    <t>979083117R00</t>
  </si>
  <si>
    <t>Vodorovné přemístění suti na skládku do 6000 m</t>
  </si>
  <si>
    <t>t</t>
  </si>
  <si>
    <t>5</t>
  </si>
  <si>
    <t>4</t>
  </si>
  <si>
    <t>199000002R00</t>
  </si>
  <si>
    <t>Poplatek za skládku horniny 1- 4, č. dle katal. odpadů 17 05 04</t>
  </si>
  <si>
    <t>13</t>
  </si>
  <si>
    <t>Hloubené vykopávky</t>
  </si>
  <si>
    <t>139600011RBC</t>
  </si>
  <si>
    <t>Ruční výkop v hornině 1-2</t>
  </si>
  <si>
    <t>13_</t>
  </si>
  <si>
    <t>Varianta:</t>
  </si>
  <si>
    <t>hloubka do 1 m, odvoz do 10 km</t>
  </si>
  <si>
    <t>RTS komentář:</t>
  </si>
  <si>
    <t>V položce není kalkulován poplatek za skládku zeminy. Tyto náklady se oceňují individuálně podle místních podmínek</t>
  </si>
  <si>
    <t>17</t>
  </si>
  <si>
    <t>Konstrukce ze zemin</t>
  </si>
  <si>
    <t>6</t>
  </si>
  <si>
    <t>171101103R00</t>
  </si>
  <si>
    <t>Uložení sypaniny do násypů zhutněných na 100% PS</t>
  </si>
  <si>
    <t>17_</t>
  </si>
  <si>
    <t>18</t>
  </si>
  <si>
    <t>Povrchové úpravy terénu</t>
  </si>
  <si>
    <t>7</t>
  </si>
  <si>
    <t>181301112R00</t>
  </si>
  <si>
    <t>Rozprostření ornice, rovina, tl.10-15 cm,nad 500m2</t>
  </si>
  <si>
    <t>m2</t>
  </si>
  <si>
    <t>18_</t>
  </si>
  <si>
    <t>8</t>
  </si>
  <si>
    <t>184101114RA0</t>
  </si>
  <si>
    <t>Výsadba stromu prostokoř. v rovině, výšky do 200cm</t>
  </si>
  <si>
    <t>kus</t>
  </si>
  <si>
    <t>9</t>
  </si>
  <si>
    <t>026560451</t>
  </si>
  <si>
    <t>Jabloň 'Panenské české', Malus domestica 'Panenské české'</t>
  </si>
  <si>
    <t>RTS I / 2023</t>
  </si>
  <si>
    <t>prostokořenný</t>
  </si>
  <si>
    <t>10</t>
  </si>
  <si>
    <t>02660248</t>
  </si>
  <si>
    <t>Hrušeň Solanka, Pyrus communis "Solanka"</t>
  </si>
  <si>
    <t>prostokoř.</t>
  </si>
  <si>
    <t>11</t>
  </si>
  <si>
    <t>02661075</t>
  </si>
  <si>
    <t>Švestka domácí, Prunus domestica</t>
  </si>
  <si>
    <t>026503209</t>
  </si>
  <si>
    <t>Třešeň Kaštánka, Prunus avium 'Kaštánka'</t>
  </si>
  <si>
    <t>026503319</t>
  </si>
  <si>
    <t>Třešeň Burlat, Prunus avium 'Burlat'</t>
  </si>
  <si>
    <t>14</t>
  </si>
  <si>
    <t>02651267</t>
  </si>
  <si>
    <t>Višeň METEOR KORAI, Prunus cerasus "Meteor korai"</t>
  </si>
  <si>
    <t>15</t>
  </si>
  <si>
    <t>02653462</t>
  </si>
  <si>
    <t>Hrušeň "Konference", Pyrus communis "Konference"</t>
  </si>
  <si>
    <t>16</t>
  </si>
  <si>
    <t>181101102R00</t>
  </si>
  <si>
    <t>Úprava pláně v zářezech v hor. 1-4, se zhutněním</t>
  </si>
  <si>
    <t>180400110RA0</t>
  </si>
  <si>
    <t>Založení trávníku lučního, rovina, s odplevelením</t>
  </si>
  <si>
    <t>184802115R00</t>
  </si>
  <si>
    <t>Chem. odplevelení před založ. granulátem, v rovině</t>
  </si>
  <si>
    <t>19</t>
  </si>
  <si>
    <t>185804312R00</t>
  </si>
  <si>
    <t>Zalití rostlin vodou plochy nad 20 m2</t>
  </si>
  <si>
    <t>20</t>
  </si>
  <si>
    <t>184201111R00</t>
  </si>
  <si>
    <t>Výsadba stromu při výšce kmene do 1,8 m, v rovině</t>
  </si>
  <si>
    <t>21</t>
  </si>
  <si>
    <t>184201117RA0</t>
  </si>
  <si>
    <t>Výsadba stromu s balem, v rovině, výšky do 350 cm</t>
  </si>
  <si>
    <t>22</t>
  </si>
  <si>
    <t>026560431</t>
  </si>
  <si>
    <t>Dub letní - Quercus robur Fastigiata v. 200-250 cm</t>
  </si>
  <si>
    <t>27</t>
  </si>
  <si>
    <t>Základy</t>
  </si>
  <si>
    <t>23</t>
  </si>
  <si>
    <t>274313621R00</t>
  </si>
  <si>
    <t>Beton základových pasů prostý C 20/25</t>
  </si>
  <si>
    <t>27_</t>
  </si>
  <si>
    <t>SO 03a_2_</t>
  </si>
  <si>
    <t>Položka obsahuje náklady na dodávku a uložení betonu do připravené konstrukce. Bednění se oceňuje samostatně</t>
  </si>
  <si>
    <t>56</t>
  </si>
  <si>
    <t>Podkladní vrstvy komunikací, letišť a ploch</t>
  </si>
  <si>
    <t>24</t>
  </si>
  <si>
    <t>564851113RT2</t>
  </si>
  <si>
    <t>Podklad ze štěrkodrti po zhutnění tloušťky 17 cm</t>
  </si>
  <si>
    <t>56_</t>
  </si>
  <si>
    <t>SO 03a_5_</t>
  </si>
  <si>
    <t>štěrkodrť frakce 0-32 mm</t>
  </si>
  <si>
    <t>25</t>
  </si>
  <si>
    <t>564861111RT2</t>
  </si>
  <si>
    <t>Podklad ze štěrkodrti po zhutnění tloušťky 20 cm</t>
  </si>
  <si>
    <t>26</t>
  </si>
  <si>
    <t>561471120R00</t>
  </si>
  <si>
    <t>Podklad ze zeminy stab.vápnem, Road Mix, tl. 30 cm</t>
  </si>
  <si>
    <t>564952114R00</t>
  </si>
  <si>
    <t>Podklad z mechanicky zpevněného kameniva tl. 18 cm</t>
  </si>
  <si>
    <t>28</t>
  </si>
  <si>
    <t>564851111RT2</t>
  </si>
  <si>
    <t>Podklad ze štěrkodrti po zhutnění tloušťky 15 cm</t>
  </si>
  <si>
    <t>59</t>
  </si>
  <si>
    <t>Kryty pozemních komunikací, letišť a ploch dlážděných (předlažby)</t>
  </si>
  <si>
    <t>29</t>
  </si>
  <si>
    <t>597081120R00</t>
  </si>
  <si>
    <t>Svodnice ocelová bez roštu</t>
  </si>
  <si>
    <t>m</t>
  </si>
  <si>
    <t>59_</t>
  </si>
  <si>
    <t>30</t>
  </si>
  <si>
    <t>596215020R00</t>
  </si>
  <si>
    <t>Kladení zámkové dlažby tl. 6 cm do drtě tl. 3 cm</t>
  </si>
  <si>
    <t>Od CÚ 2015/ II. není v jednotkové ceně započteno řezání dlaždic!!! Rozpočtuje se samostatnou položkou 596 29-1111.R00 Řezání zámkové dlažby tl. 60 mm. V položce jsou zakalkulovány i náklady na dodání hmot pro lože a na dodání materiálu na výplň spár. V položce nejsou zakalkulovány náklady na dodání zámkové dlažby, která se oceňuje ve specifikaci, ztratné se doporučuje ve výši 5 %.</t>
  </si>
  <si>
    <t>31</t>
  </si>
  <si>
    <t>59245308</t>
  </si>
  <si>
    <t>Dlažba betonová zámková přírodní  20 x10 x 6</t>
  </si>
  <si>
    <t xml:space="preserve"> Dlažba vibrolisovaná, standardní povrc</t>
  </si>
  <si>
    <t>91</t>
  </si>
  <si>
    <t>Doplňující konstrukce a práce na pozemních komunikacích a zpevněných plochách</t>
  </si>
  <si>
    <t>32</t>
  </si>
  <si>
    <t>914001121RT6</t>
  </si>
  <si>
    <t>Osaz.svislé dopr.značky a sloupku,Al patka, základ</t>
  </si>
  <si>
    <t>91_</t>
  </si>
  <si>
    <t>SO 03a_9_</t>
  </si>
  <si>
    <t>včetně dodávky sloupku a značky</t>
  </si>
  <si>
    <t>33</t>
  </si>
  <si>
    <t>916661111RT5</t>
  </si>
  <si>
    <t>Osazení park. obrubníků do lože z C 12/15 s opěrou</t>
  </si>
  <si>
    <t>včetně obrubníku 80x250x1000 mm</t>
  </si>
  <si>
    <t>V položce nejsou zakalkulovány náklady na dodání obrubníků, které se oceňuje ve specifikaci, ztratné se doporučuje ve výši 1%. Část lože přesahující 10 cm se oceňuje položkou 918 10-1111 Lože pod obrubníky, krajníky nebo obruby</t>
  </si>
  <si>
    <t>34</t>
  </si>
  <si>
    <t>914001125R00</t>
  </si>
  <si>
    <t>Osazení svislé dopr.značky na sloupek nebo konzolu</t>
  </si>
  <si>
    <t>Včetně dodávky upevňovadel</t>
  </si>
  <si>
    <t>35</t>
  </si>
  <si>
    <t>40445032.A</t>
  </si>
  <si>
    <t>Značka dopr příkazová C1-C14b 700 fól 1, EG 7letá</t>
  </si>
  <si>
    <t xml:space="preserve">Typy a provedení dopravního značení jsou v souladu s příslušným zákonem a vyhláškou č. 30/2001 Sb. a jsou schváleny Ministerstvem dopravy a spojů k používání na pozemních komunikacích.  EG - Enginner Grade - reflexní fólie tř. 1 HlG  -  Hight Intensity Grade - reflexní fólie tř. 2  štít z pozinkovaného plechu s dvojitým ohybem okraje po celém obvodu značky retroreflexní fólie  I. třídy 3M EG nebo podobná, záruka 7 let  </t>
  </si>
  <si>
    <t>93</t>
  </si>
  <si>
    <t>Různé dokončovací konstrukce a práce inženýrských staveb</t>
  </si>
  <si>
    <t>36</t>
  </si>
  <si>
    <t>935112111R00</t>
  </si>
  <si>
    <t>Osazení přík.žlabu do C8/10 tl.10cm z tvárnic š. 25 cm</t>
  </si>
  <si>
    <t>93_</t>
  </si>
  <si>
    <t>95</t>
  </si>
  <si>
    <t>Různé dokončovací konstrukce a práce na pozemních stavbách</t>
  </si>
  <si>
    <t>37</t>
  </si>
  <si>
    <t>953981103R00</t>
  </si>
  <si>
    <t>Chemické kotvy do betonu, hl. 110 mm, M 12, ampule</t>
  </si>
  <si>
    <t>95_</t>
  </si>
  <si>
    <t>V položce je zakalkulováno vyvrtání a vyčištění otvoru požadovaného průměru a hloubky, zasunutí ampule s chemickou kotvou do otvoru a zavrtání svorníku s hrotem, maticí a podložkou pozink. CH - M12 x 220/90 GV. Položka je určena i pro kotvy do zdiva z plných cihel.</t>
  </si>
  <si>
    <t>999VD</t>
  </si>
  <si>
    <t>Vedlejší a ostatní náklady</t>
  </si>
  <si>
    <t>38</t>
  </si>
  <si>
    <t>999000001VD</t>
  </si>
  <si>
    <t>Zařízení staveniště - zřízení</t>
  </si>
  <si>
    <t>soubor</t>
  </si>
  <si>
    <t>999VD_</t>
  </si>
  <si>
    <t>39</t>
  </si>
  <si>
    <t>999000002VD</t>
  </si>
  <si>
    <t>Zařízení staveniště - demontáž</t>
  </si>
  <si>
    <t>40</t>
  </si>
  <si>
    <t>999000003VD</t>
  </si>
  <si>
    <t>Geodetické zaměření</t>
  </si>
  <si>
    <t>41</t>
  </si>
  <si>
    <t>999000004VD</t>
  </si>
  <si>
    <t>Dokumentace skutečného provedení</t>
  </si>
  <si>
    <t>42</t>
  </si>
  <si>
    <t>999000006VD</t>
  </si>
  <si>
    <t>Zkoušky a měření</t>
  </si>
  <si>
    <t>43</t>
  </si>
  <si>
    <t>999000007VD</t>
  </si>
  <si>
    <t>Zařízení staveniště - provoz</t>
  </si>
  <si>
    <t>měsíc</t>
  </si>
  <si>
    <t>44</t>
  </si>
  <si>
    <t>999000009VD</t>
  </si>
  <si>
    <t>Vytyčení tras IS</t>
  </si>
  <si>
    <t>M</t>
  </si>
  <si>
    <t>45</t>
  </si>
  <si>
    <t>589000X11VD</t>
  </si>
  <si>
    <t>Lavička s opěradlem, dřevo / kov</t>
  </si>
  <si>
    <t>ks</t>
  </si>
  <si>
    <t>0</t>
  </si>
  <si>
    <t>Z99999_</t>
  </si>
  <si>
    <t>SO 03a_Z_</t>
  </si>
  <si>
    <t>46</t>
  </si>
  <si>
    <t>589000X14VD</t>
  </si>
  <si>
    <t>Dřevěný altán masiv s lavicí, 1,9 x 1,7 m</t>
  </si>
  <si>
    <t>47</t>
  </si>
  <si>
    <t>SO 03b_1_</t>
  </si>
  <si>
    <t>SO 03b_</t>
  </si>
  <si>
    <t>48</t>
  </si>
  <si>
    <t>49</t>
  </si>
  <si>
    <t>50</t>
  </si>
  <si>
    <t>51</t>
  </si>
  <si>
    <t>52</t>
  </si>
  <si>
    <t>53</t>
  </si>
  <si>
    <t>SO 03b_5_</t>
  </si>
  <si>
    <t>54</t>
  </si>
  <si>
    <t>55</t>
  </si>
  <si>
    <t>Výkaz výměr</t>
  </si>
  <si>
    <t>Objekt</t>
  </si>
  <si>
    <t>Potřebné množství</t>
  </si>
  <si>
    <t>N</t>
  </si>
  <si>
    <t>(643-23)*3,90*0,57</t>
  </si>
  <si>
    <t>100</t>
  </si>
  <si>
    <t>reprofilace terénu</t>
  </si>
  <si>
    <t>3,5*40</t>
  </si>
  <si>
    <t>km 0-0,036</t>
  </si>
  <si>
    <t>3,5*40*1,8</t>
  </si>
  <si>
    <t>4*0,8*0,8*0,8</t>
  </si>
  <si>
    <t>základy altánu</t>
  </si>
  <si>
    <t>3,90*(643-23)*0,57/0,15</t>
  </si>
  <si>
    <t>(643-23)*3,90</t>
  </si>
  <si>
    <t>přehutnění pláně po stabilizaci</t>
  </si>
  <si>
    <t>9188,4*0,5</t>
  </si>
  <si>
    <t>osetí trávníku na polovině rozprostřené ornice</t>
  </si>
  <si>
    <t>4594,2</t>
  </si>
  <si>
    <t>4594,2*0,03</t>
  </si>
  <si>
    <t>zálivka 30 l/m2</t>
  </si>
  <si>
    <t>patky altánu</t>
  </si>
  <si>
    <t>3,90*(643-23)*2</t>
  </si>
  <si>
    <t>ŠD_B, doplnění štěrku po odebrané ornici</t>
  </si>
  <si>
    <t>3,55*(643-23)</t>
  </si>
  <si>
    <t>ŠD_B, skladba S1</t>
  </si>
  <si>
    <t>3,9*(643-23)</t>
  </si>
  <si>
    <t>2,77*(643-23)</t>
  </si>
  <si>
    <t>skladba S1</t>
  </si>
  <si>
    <t>skladba S2</t>
  </si>
  <si>
    <t>5*2,5</t>
  </si>
  <si>
    <t>Dlažba vibrolisovaná, standardní povrc</t>
  </si>
  <si>
    <t>C9a</t>
  </si>
  <si>
    <t>2*(2+4)</t>
  </si>
  <si>
    <t>u altánu</t>
  </si>
  <si>
    <t>C9b</t>
  </si>
  <si>
    <t>Typy a provedení dopravního značení jsou v souladu s příslušným zákonem a vyhláškou č. 30/2001 Sb. a jsou schváleny Ministerstvem dopravy a spojů k používání na pozemních komunikacích.  EG - Enginner Grade - reflexní fólie tř. 1 HlG  -  Hight Intensity Grade - reflexní fólie tř. 2  štít z pozinkovaného plechu s dvojitým ohybem okraje po celém obvodu značky retroreflexní fólie  I. třídy 3M EG nebo podobná, záruka 7 let</t>
  </si>
  <si>
    <t>km 0,006-0,031</t>
  </si>
  <si>
    <t>4*4</t>
  </si>
  <si>
    <t>kotvení altánu</t>
  </si>
  <si>
    <t>zkoušky pláně</t>
  </si>
  <si>
    <t>(23)*3,90*0,57</t>
  </si>
  <si>
    <t>3,90*(23)*0,57/0,15</t>
  </si>
  <si>
    <t>(23)*3,90</t>
  </si>
  <si>
    <t>340,86*0,5</t>
  </si>
  <si>
    <t>170,43*0,03</t>
  </si>
  <si>
    <t>3,90*(23)*2</t>
  </si>
  <si>
    <t>3,55*(23)</t>
  </si>
  <si>
    <t>3,9*(23)</t>
  </si>
  <si>
    <t>2,77*(23)</t>
  </si>
</sst>
</file>

<file path=xl/styles.xml><?xml version="1.0" encoding="utf-8"?>
<styleSheet xmlns="http://schemas.openxmlformats.org/spreadsheetml/2006/main">
  <numFmts count="0"/>
  <fonts count="12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</font>
    <font>
      <color rgb="FF000000"/>
      <sz val="10"/>
      <name val="Arial"/>
      <charset val="238"/>
      <b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  <font>
      <color rgb="FF000000"/>
      <sz val="8"/>
      <name val="Arial"/>
      <charset val="238"/>
      <i/>
    </font>
    <font>
      <color rgb="FF000000"/>
      <sz val="10"/>
      <name val="Arial"/>
      <charset val="238"/>
      <i/>
    </font>
    <font>
      <color rgb="FF000000"/>
      <sz val="9"/>
      <name val="Arial"/>
      <charset val="238"/>
      <i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185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41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56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3" fontId="3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7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3" fontId="3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76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4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4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2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0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3" fontId="2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9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8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0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tabSelected="true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1" t="s">
        <v>0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7" t="s">
        <v>3</v>
      </c>
      <c r="I2" s="8" t="s">
        <v>4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4" t="s">
        <v>3</v>
      </c>
      <c r="I4" s="12" t="s">
        <v>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4" t="s">
        <v>3</v>
      </c>
      <c r="I6" s="12" t="s">
        <v>10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11</v>
      </c>
      <c r="B8" s="10"/>
      <c r="C8" s="14">
        <f>'Stavební rozpočet'!G4</f>
      </c>
      <c r="D8" s="10"/>
      <c r="E8" s="14" t="s">
        <v>12</v>
      </c>
      <c r="F8" s="14">
        <f>'Stavební rozpočet'!G6</f>
      </c>
      <c r="G8" s="10"/>
      <c r="H8" s="10" t="s">
        <v>13</v>
      </c>
      <c r="I8" s="15" t="n">
        <v>56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14</v>
      </c>
      <c r="B10" s="10"/>
      <c r="C10" s="14">
        <f>'Stavební rozpočet'!C8</f>
      </c>
      <c r="D10" s="10"/>
      <c r="E10" s="14" t="s">
        <v>15</v>
      </c>
      <c r="F10" s="14">
        <f>'Stavební rozpočet'!I8</f>
      </c>
      <c r="G10" s="10"/>
      <c r="H10" s="10" t="s">
        <v>16</v>
      </c>
      <c r="I10" s="16">
        <f>'Stavební rozpočet'!G8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2">
      <c r="A12" s="20" t="s">
        <v>17</v>
      </c>
      <c r="B12" s="20"/>
      <c r="C12" s="20"/>
      <c r="D12" s="20"/>
      <c r="E12" s="20"/>
      <c r="F12" s="20"/>
      <c r="G12" s="20"/>
      <c r="H12" s="20"/>
      <c r="I12" s="20"/>
    </row>
    <row r="13" customHeight="true" ht="26.25">
      <c r="A13" s="21" t="s">
        <v>18</v>
      </c>
      <c r="B13" s="22" t="s">
        <v>19</v>
      </c>
      <c r="C13" s="23"/>
      <c r="D13" s="24" t="s">
        <v>20</v>
      </c>
      <c r="E13" s="22" t="s">
        <v>21</v>
      </c>
      <c r="F13" s="23"/>
      <c r="G13" s="24" t="s">
        <v>22</v>
      </c>
      <c r="H13" s="22" t="s">
        <v>23</v>
      </c>
      <c r="I13" s="23"/>
    </row>
    <row r="14">
      <c r="A14" s="25" t="s">
        <v>24</v>
      </c>
      <c r="B14" s="26" t="s">
        <v>25</v>
      </c>
      <c r="C14" s="27">
        <f>SUM('Stavební rozpočet'!AB12:AB107)</f>
      </c>
      <c r="D14" s="28" t="s">
        <v>26</v>
      </c>
      <c r="E14" s="29"/>
      <c r="F14" s="27">
        <f>VORN!I15</f>
      </c>
      <c r="G14" s="28" t="s">
        <v>27</v>
      </c>
      <c r="H14" s="29"/>
      <c r="I14" s="30">
        <f>VORN!I21</f>
      </c>
    </row>
    <row r="15">
      <c r="A15" s="31" t="s">
        <v>10</v>
      </c>
      <c r="B15" s="26" t="s">
        <v>28</v>
      </c>
      <c r="C15" s="27">
        <f>SUM('Stavební rozpočet'!AC12:AC107)</f>
      </c>
      <c r="D15" s="28" t="s">
        <v>29</v>
      </c>
      <c r="E15" s="29"/>
      <c r="F15" s="27">
        <f>VORN!I16</f>
      </c>
      <c r="G15" s="28" t="s">
        <v>30</v>
      </c>
      <c r="H15" s="29"/>
      <c r="I15" s="30">
        <f>VORN!I22</f>
      </c>
    </row>
    <row r="16">
      <c r="A16" s="25" t="s">
        <v>31</v>
      </c>
      <c r="B16" s="26" t="s">
        <v>25</v>
      </c>
      <c r="C16" s="27">
        <f>SUM('Stavební rozpočet'!AD12:AD107)</f>
      </c>
      <c r="D16" s="28" t="s">
        <v>32</v>
      </c>
      <c r="E16" s="29"/>
      <c r="F16" s="27">
        <f>VORN!I17</f>
      </c>
      <c r="G16" s="28" t="s">
        <v>33</v>
      </c>
      <c r="H16" s="29"/>
      <c r="I16" s="30">
        <f>VORN!I23</f>
      </c>
    </row>
    <row r="17">
      <c r="A17" s="31" t="s">
        <v>10</v>
      </c>
      <c r="B17" s="26" t="s">
        <v>28</v>
      </c>
      <c r="C17" s="27">
        <f>SUM('Stavební rozpočet'!AE12:AE107)</f>
      </c>
      <c r="D17" s="28" t="s">
        <v>10</v>
      </c>
      <c r="E17" s="29"/>
      <c r="F17" s="30" t="s">
        <v>10</v>
      </c>
      <c r="G17" s="28" t="s">
        <v>34</v>
      </c>
      <c r="H17" s="29"/>
      <c r="I17" s="30">
        <f>VORN!I24</f>
      </c>
    </row>
    <row r="18">
      <c r="A18" s="25" t="s">
        <v>35</v>
      </c>
      <c r="B18" s="26" t="s">
        <v>25</v>
      </c>
      <c r="C18" s="27">
        <f>SUM('Stavební rozpočet'!AF12:AF107)</f>
      </c>
      <c r="D18" s="28" t="s">
        <v>10</v>
      </c>
      <c r="E18" s="29"/>
      <c r="F18" s="30" t="s">
        <v>10</v>
      </c>
      <c r="G18" s="28" t="s">
        <v>36</v>
      </c>
      <c r="H18" s="29"/>
      <c r="I18" s="30">
        <f>VORN!I25</f>
      </c>
    </row>
    <row r="19">
      <c r="A19" s="31" t="s">
        <v>10</v>
      </c>
      <c r="B19" s="26" t="s">
        <v>28</v>
      </c>
      <c r="C19" s="27">
        <f>SUM('Stavební rozpočet'!AG12:AG107)</f>
      </c>
      <c r="D19" s="28" t="s">
        <v>10</v>
      </c>
      <c r="E19" s="29"/>
      <c r="F19" s="30" t="s">
        <v>10</v>
      </c>
      <c r="G19" s="28" t="s">
        <v>37</v>
      </c>
      <c r="H19" s="29"/>
      <c r="I19" s="30">
        <f>VORN!I26</f>
      </c>
    </row>
    <row r="20">
      <c r="A20" s="32" t="s">
        <v>38</v>
      </c>
      <c r="B20" s="33"/>
      <c r="C20" s="27">
        <f>SUM('Stavební rozpočet'!AH12:AH107)</f>
      </c>
      <c r="D20" s="28" t="s">
        <v>10</v>
      </c>
      <c r="E20" s="29"/>
      <c r="F20" s="30" t="s">
        <v>10</v>
      </c>
      <c r="G20" s="28" t="s">
        <v>10</v>
      </c>
      <c r="H20" s="29"/>
      <c r="I20" s="30" t="s">
        <v>10</v>
      </c>
    </row>
    <row r="21">
      <c r="A21" s="34" t="s">
        <v>39</v>
      </c>
      <c r="B21" s="35"/>
      <c r="C21" s="36">
        <f>SUM('Stavební rozpočet'!Z12:Z107)</f>
      </c>
      <c r="D21" s="37" t="s">
        <v>10</v>
      </c>
      <c r="E21" s="38"/>
      <c r="F21" s="39" t="s">
        <v>10</v>
      </c>
      <c r="G21" s="37" t="s">
        <v>10</v>
      </c>
      <c r="H21" s="38"/>
      <c r="I21" s="39" t="s">
        <v>10</v>
      </c>
    </row>
    <row r="22" customHeight="true" ht="16.5">
      <c r="A22" s="40" t="s">
        <v>40</v>
      </c>
      <c r="B22" s="41"/>
      <c r="C22" s="42">
        <f>SUM(C14:C21)</f>
      </c>
      <c r="D22" s="43" t="s">
        <v>41</v>
      </c>
      <c r="E22" s="41"/>
      <c r="F22" s="42">
        <f>SUM(F14:F21)</f>
      </c>
      <c r="G22" s="43" t="s">
        <v>42</v>
      </c>
      <c r="H22" s="41"/>
      <c r="I22" s="42">
        <f>SUM(I14:I21)</f>
      </c>
    </row>
    <row r="23">
      <c r="D23" s="32" t="s">
        <v>43</v>
      </c>
      <c r="E23" s="33"/>
      <c r="F23" s="44" t="n">
        <v>0</v>
      </c>
      <c r="G23" s="45" t="s">
        <v>44</v>
      </c>
      <c r="H23" s="33"/>
      <c r="I23" s="27" t="n">
        <v>0</v>
      </c>
    </row>
    <row r="24">
      <c r="G24" s="32" t="s">
        <v>45</v>
      </c>
      <c r="H24" s="33"/>
      <c r="I24" s="36">
        <f>vorn_sum</f>
      </c>
    </row>
    <row r="25">
      <c r="G25" s="32" t="s">
        <v>46</v>
      </c>
      <c r="H25" s="33"/>
      <c r="I25" s="42" t="n">
        <v>0</v>
      </c>
    </row>
    <row r="27">
      <c r="A27" s="46" t="s">
        <v>47</v>
      </c>
      <c r="B27" s="47"/>
      <c r="C27" s="48">
        <f>SUM('Stavební rozpočet'!AJ12:AJ107)</f>
      </c>
    </row>
    <row r="28">
      <c r="A28" s="49" t="s">
        <v>48</v>
      </c>
      <c r="B28" s="50"/>
      <c r="C28" s="51">
        <f>SUM('Stavební rozpočet'!AK12:AK107)</f>
      </c>
      <c r="D28" s="52" t="s">
        <v>49</v>
      </c>
      <c r="E28" s="47"/>
      <c r="F28" s="48">
        <f>ROUND(C28*(12/100),2)</f>
      </c>
      <c r="G28" s="52" t="s">
        <v>50</v>
      </c>
      <c r="H28" s="47"/>
      <c r="I28" s="48">
        <f>SUM(C27:C29)</f>
      </c>
    </row>
    <row r="29">
      <c r="A29" s="49" t="s">
        <v>51</v>
      </c>
      <c r="B29" s="50"/>
      <c r="C29" s="51">
        <f>SUM('Stavební rozpočet'!AL12:AL107)+(F22+I22+F23+I23+I24+I25)</f>
      </c>
      <c r="D29" s="53" t="s">
        <v>52</v>
      </c>
      <c r="E29" s="50"/>
      <c r="F29" s="51">
        <f>ROUND(C29*(21/100),2)</f>
      </c>
      <c r="G29" s="53" t="s">
        <v>53</v>
      </c>
      <c r="H29" s="50"/>
      <c r="I29" s="51">
        <f>SUM(F28:F29)+I28</f>
      </c>
    </row>
    <row r="31">
      <c r="A31" s="54" t="s">
        <v>54</v>
      </c>
      <c r="B31" s="55"/>
      <c r="C31" s="56"/>
      <c r="D31" s="57" t="s">
        <v>55</v>
      </c>
      <c r="E31" s="55"/>
      <c r="F31" s="56"/>
      <c r="G31" s="57" t="s">
        <v>56</v>
      </c>
      <c r="H31" s="55"/>
      <c r="I31" s="56"/>
    </row>
    <row r="32">
      <c r="A32" s="58" t="s">
        <v>10</v>
      </c>
      <c r="B32" s="59"/>
      <c r="C32" s="60"/>
      <c r="D32" s="61" t="s">
        <v>10</v>
      </c>
      <c r="E32" s="59"/>
      <c r="F32" s="60"/>
      <c r="G32" s="61" t="s">
        <v>10</v>
      </c>
      <c r="H32" s="59"/>
      <c r="I32" s="60"/>
    </row>
    <row r="33">
      <c r="A33" s="58" t="s">
        <v>10</v>
      </c>
      <c r="B33" s="59"/>
      <c r="C33" s="60"/>
      <c r="D33" s="61" t="s">
        <v>10</v>
      </c>
      <c r="E33" s="59"/>
      <c r="F33" s="60"/>
      <c r="G33" s="61" t="s">
        <v>10</v>
      </c>
      <c r="H33" s="59"/>
      <c r="I33" s="60"/>
    </row>
    <row r="34">
      <c r="A34" s="58" t="s">
        <v>10</v>
      </c>
      <c r="B34" s="59"/>
      <c r="C34" s="60"/>
      <c r="D34" s="61" t="s">
        <v>10</v>
      </c>
      <c r="E34" s="59"/>
      <c r="F34" s="60"/>
      <c r="G34" s="61" t="s">
        <v>10</v>
      </c>
      <c r="H34" s="59"/>
      <c r="I34" s="60"/>
    </row>
    <row r="35">
      <c r="A35" s="62" t="s">
        <v>57</v>
      </c>
      <c r="B35" s="63"/>
      <c r="C35" s="64"/>
      <c r="D35" s="65" t="s">
        <v>57</v>
      </c>
      <c r="E35" s="63"/>
      <c r="F35" s="64"/>
      <c r="G35" s="65" t="s">
        <v>57</v>
      </c>
      <c r="H35" s="63"/>
      <c r="I35" s="64"/>
    </row>
    <row r="36">
      <c r="A36" s="66" t="s">
        <v>58</v>
      </c>
    </row>
    <row r="37" customHeight="true" ht="12.75">
      <c r="A37" s="14" t="s">
        <v>10</v>
      </c>
      <c r="B37" s="10"/>
      <c r="C37" s="10"/>
      <c r="D37" s="10"/>
      <c r="E37" s="10"/>
      <c r="F37" s="10"/>
      <c r="G37" s="10"/>
      <c r="H37" s="10"/>
      <c r="I37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8B3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6"/>
  <sheetViews>
    <sheetView workbookViewId="0" showZeros="true" showFormulas="false" showGridLines="true" showRowColHeaders="true">
      <selection sqref="A36:E36" activeCell="A36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1" t="s">
        <v>59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7" t="s">
        <v>3</v>
      </c>
      <c r="I2" s="8" t="s">
        <v>4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4" t="s">
        <v>3</v>
      </c>
      <c r="I4" s="12" t="s">
        <v>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4" t="s">
        <v>3</v>
      </c>
      <c r="I6" s="12" t="s">
        <v>10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11</v>
      </c>
      <c r="B8" s="10"/>
      <c r="C8" s="14">
        <f>'Stavební rozpočet'!G4</f>
      </c>
      <c r="D8" s="10"/>
      <c r="E8" s="14" t="s">
        <v>12</v>
      </c>
      <c r="F8" s="14">
        <f>'Stavební rozpočet'!G6</f>
      </c>
      <c r="G8" s="10"/>
      <c r="H8" s="10" t="s">
        <v>13</v>
      </c>
      <c r="I8" s="15" t="n">
        <v>56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14</v>
      </c>
      <c r="B10" s="10"/>
      <c r="C10" s="14">
        <f>'Stavební rozpočet'!C8</f>
      </c>
      <c r="D10" s="10"/>
      <c r="E10" s="14" t="s">
        <v>15</v>
      </c>
      <c r="F10" s="14">
        <f>'Stavební rozpočet'!I8</f>
      </c>
      <c r="G10" s="10"/>
      <c r="H10" s="10" t="s">
        <v>16</v>
      </c>
      <c r="I10" s="16">
        <f>'Stavební rozpočet'!G8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3">
      <c r="A13" s="67" t="s">
        <v>60</v>
      </c>
      <c r="B13" s="67"/>
      <c r="C13" s="67"/>
      <c r="D13" s="67"/>
      <c r="E13" s="67"/>
    </row>
    <row r="14">
      <c r="A14" s="68" t="s">
        <v>61</v>
      </c>
      <c r="B14" s="69"/>
      <c r="C14" s="69"/>
      <c r="D14" s="69"/>
      <c r="E14" s="70"/>
      <c r="F14" s="71" t="s">
        <v>62</v>
      </c>
      <c r="G14" s="71" t="s">
        <v>63</v>
      </c>
      <c r="H14" s="71" t="s">
        <v>64</v>
      </c>
      <c r="I14" s="71" t="s">
        <v>62</v>
      </c>
    </row>
    <row r="15">
      <c r="A15" s="72" t="s">
        <v>26</v>
      </c>
      <c r="B15" s="73"/>
      <c r="C15" s="73"/>
      <c r="D15" s="73"/>
      <c r="E15" s="74"/>
      <c r="F15" s="75" t="n">
        <v>0</v>
      </c>
      <c r="G15" s="76" t="s">
        <v>10</v>
      </c>
      <c r="H15" s="76" t="s">
        <v>10</v>
      </c>
      <c r="I15" s="75">
        <f>F15</f>
      </c>
    </row>
    <row r="16">
      <c r="A16" s="72" t="s">
        <v>29</v>
      </c>
      <c r="B16" s="73"/>
      <c r="C16" s="73"/>
      <c r="D16" s="73"/>
      <c r="E16" s="74"/>
      <c r="F16" s="75" t="n">
        <v>0</v>
      </c>
      <c r="G16" s="76" t="s">
        <v>10</v>
      </c>
      <c r="H16" s="76" t="s">
        <v>10</v>
      </c>
      <c r="I16" s="75">
        <f>F16</f>
      </c>
    </row>
    <row r="17">
      <c r="A17" s="77" t="s">
        <v>32</v>
      </c>
      <c r="B17" s="78"/>
      <c r="C17" s="78"/>
      <c r="D17" s="78"/>
      <c r="E17" s="79"/>
      <c r="F17" s="80" t="n">
        <v>0</v>
      </c>
      <c r="G17" s="81" t="s">
        <v>10</v>
      </c>
      <c r="H17" s="81" t="s">
        <v>10</v>
      </c>
      <c r="I17" s="80">
        <f>F17</f>
      </c>
    </row>
    <row r="18">
      <c r="A18" s="82" t="s">
        <v>65</v>
      </c>
      <c r="B18" s="83"/>
      <c r="C18" s="83"/>
      <c r="D18" s="83"/>
      <c r="E18" s="84"/>
      <c r="F18" s="85" t="s">
        <v>10</v>
      </c>
      <c r="G18" s="86" t="s">
        <v>10</v>
      </c>
      <c r="H18" s="86" t="s">
        <v>10</v>
      </c>
      <c r="I18" s="87">
        <f>SUM(I15:I17)</f>
      </c>
    </row>
    <row r="20">
      <c r="A20" s="68" t="s">
        <v>23</v>
      </c>
      <c r="B20" s="69"/>
      <c r="C20" s="69"/>
      <c r="D20" s="69"/>
      <c r="E20" s="70"/>
      <c r="F20" s="71" t="s">
        <v>62</v>
      </c>
      <c r="G20" s="71" t="s">
        <v>63</v>
      </c>
      <c r="H20" s="71" t="s">
        <v>64</v>
      </c>
      <c r="I20" s="71" t="s">
        <v>62</v>
      </c>
    </row>
    <row r="21">
      <c r="A21" s="72" t="s">
        <v>27</v>
      </c>
      <c r="B21" s="73"/>
      <c r="C21" s="73"/>
      <c r="D21" s="73"/>
      <c r="E21" s="74"/>
      <c r="F21" s="75" t="n">
        <v>0</v>
      </c>
      <c r="G21" s="76" t="s">
        <v>10</v>
      </c>
      <c r="H21" s="76" t="s">
        <v>10</v>
      </c>
      <c r="I21" s="75">
        <f>F21</f>
      </c>
    </row>
    <row r="22">
      <c r="A22" s="72" t="s">
        <v>30</v>
      </c>
      <c r="B22" s="73"/>
      <c r="C22" s="73"/>
      <c r="D22" s="73"/>
      <c r="E22" s="74"/>
      <c r="F22" s="75" t="n">
        <v>0</v>
      </c>
      <c r="G22" s="76" t="s">
        <v>10</v>
      </c>
      <c r="H22" s="76" t="s">
        <v>10</v>
      </c>
      <c r="I22" s="75">
        <f>F22</f>
      </c>
    </row>
    <row r="23">
      <c r="A23" s="72" t="s">
        <v>33</v>
      </c>
      <c r="B23" s="73"/>
      <c r="C23" s="73"/>
      <c r="D23" s="73"/>
      <c r="E23" s="74"/>
      <c r="F23" s="75" t="n">
        <v>0</v>
      </c>
      <c r="G23" s="76" t="s">
        <v>10</v>
      </c>
      <c r="H23" s="76" t="s">
        <v>10</v>
      </c>
      <c r="I23" s="75">
        <f>F23</f>
      </c>
    </row>
    <row r="24">
      <c r="A24" s="72" t="s">
        <v>34</v>
      </c>
      <c r="B24" s="73"/>
      <c r="C24" s="73"/>
      <c r="D24" s="73"/>
      <c r="E24" s="74"/>
      <c r="F24" s="75" t="n">
        <v>0</v>
      </c>
      <c r="G24" s="76" t="s">
        <v>10</v>
      </c>
      <c r="H24" s="76" t="s">
        <v>10</v>
      </c>
      <c r="I24" s="75">
        <f>F24</f>
      </c>
    </row>
    <row r="25">
      <c r="A25" s="72" t="s">
        <v>36</v>
      </c>
      <c r="B25" s="73"/>
      <c r="C25" s="73"/>
      <c r="D25" s="73"/>
      <c r="E25" s="74"/>
      <c r="F25" s="75" t="n">
        <v>0</v>
      </c>
      <c r="G25" s="76" t="s">
        <v>10</v>
      </c>
      <c r="H25" s="76" t="s">
        <v>10</v>
      </c>
      <c r="I25" s="75">
        <f>F25</f>
      </c>
    </row>
    <row r="26">
      <c r="A26" s="77" t="s">
        <v>37</v>
      </c>
      <c r="B26" s="78"/>
      <c r="C26" s="78"/>
      <c r="D26" s="78"/>
      <c r="E26" s="79"/>
      <c r="F26" s="80" t="n">
        <v>0</v>
      </c>
      <c r="G26" s="81" t="s">
        <v>10</v>
      </c>
      <c r="H26" s="81" t="s">
        <v>10</v>
      </c>
      <c r="I26" s="80">
        <f>F26</f>
      </c>
    </row>
    <row r="27">
      <c r="A27" s="82" t="s">
        <v>66</v>
      </c>
      <c r="B27" s="83"/>
      <c r="C27" s="83"/>
      <c r="D27" s="83"/>
      <c r="E27" s="84"/>
      <c r="F27" s="85" t="s">
        <v>10</v>
      </c>
      <c r="G27" s="86" t="s">
        <v>10</v>
      </c>
      <c r="H27" s="86" t="s">
        <v>10</v>
      </c>
      <c r="I27" s="87">
        <f>SUM(I21:I26)</f>
      </c>
    </row>
    <row r="29">
      <c r="A29" s="88" t="s">
        <v>67</v>
      </c>
      <c r="B29" s="89"/>
      <c r="C29" s="89"/>
      <c r="D29" s="89"/>
      <c r="E29" s="90"/>
      <c r="F29" s="91">
        <f>I18+I27</f>
      </c>
      <c r="G29" s="92"/>
      <c r="H29" s="92"/>
      <c r="I29" s="93"/>
    </row>
    <row r="33">
      <c r="A33" s="67" t="s">
        <v>68</v>
      </c>
      <c r="B33" s="67"/>
      <c r="C33" s="67"/>
      <c r="D33" s="67"/>
      <c r="E33" s="67"/>
    </row>
    <row r="34">
      <c r="A34" s="68" t="s">
        <v>69</v>
      </c>
      <c r="B34" s="69"/>
      <c r="C34" s="69"/>
      <c r="D34" s="69"/>
      <c r="E34" s="70"/>
      <c r="F34" s="71" t="s">
        <v>62</v>
      </c>
      <c r="G34" s="71" t="s">
        <v>63</v>
      </c>
      <c r="H34" s="71" t="s">
        <v>64</v>
      </c>
      <c r="I34" s="71" t="s">
        <v>62</v>
      </c>
    </row>
    <row r="35">
      <c r="A35" s="77" t="s">
        <v>10</v>
      </c>
      <c r="B35" s="78"/>
      <c r="C35" s="78"/>
      <c r="D35" s="78"/>
      <c r="E35" s="79"/>
      <c r="F35" s="80" t="n">
        <v>0</v>
      </c>
      <c r="G35" s="81" t="s">
        <v>10</v>
      </c>
      <c r="H35" s="81" t="s">
        <v>10</v>
      </c>
      <c r="I35" s="80">
        <f>F35</f>
      </c>
    </row>
    <row r="36">
      <c r="A36" s="82" t="s">
        <v>70</v>
      </c>
      <c r="B36" s="83"/>
      <c r="C36" s="83"/>
      <c r="D36" s="83"/>
      <c r="E36" s="84"/>
      <c r="F36" s="85" t="s">
        <v>10</v>
      </c>
      <c r="G36" s="86" t="s">
        <v>10</v>
      </c>
      <c r="H36" s="86" t="s">
        <v>10</v>
      </c>
      <c r="I36" s="87">
        <f>SUM(I35:I35)</f>
      </c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8B3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P16"/>
  <sheetViews>
    <sheetView workbookViewId="0" showZeros="true" showFormulas="false" showGridLines="true" showRowColHeaders="true">
      <pane topLeftCell="A12" state="frozen" activePane="bottomLeft" ySplit="11"/>
      <selection pane="bottomLeft" sqref="A16:L16" activeCell="A16"/>
    </sheetView>
  </sheetViews>
  <sheetFormatPr defaultColWidth="12.140625" customHeight="true" defaultRowHeight="15"/>
  <cols>
    <col max="9" min="1" style="0" width="15.7109375" customWidth="true"/>
    <col max="12" min="10" style="0" width="14.28515625" customWidth="true"/>
    <col max="16" min="13" style="0" width="12.140625" hidden="true"/>
  </cols>
  <sheetData>
    <row r="1" customHeight="true" ht="54.75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4"/>
      <c r="C2" s="4"/>
      <c r="D2" s="5">
        <f>'Stavební rozpočet'!C2</f>
      </c>
      <c r="E2" s="6"/>
      <c r="F2" s="6"/>
      <c r="G2" s="7" t="s">
        <v>72</v>
      </c>
      <c r="H2" s="7">
        <f>'Stavební rozpočet'!G2</f>
      </c>
      <c r="I2" s="7" t="s">
        <v>2</v>
      </c>
      <c r="J2" s="7">
        <f>'Stavební rozpočet'!I2</f>
      </c>
      <c r="K2" s="4"/>
      <c r="L2" s="8"/>
    </row>
    <row r="3" customHeight="true" ht="15">
      <c r="A3" s="9"/>
      <c r="B3" s="10"/>
      <c r="C3" s="10"/>
      <c r="D3" s="11"/>
      <c r="E3" s="11"/>
      <c r="F3" s="11"/>
      <c r="G3" s="10"/>
      <c r="H3" s="10"/>
      <c r="I3" s="10"/>
      <c r="J3" s="10"/>
      <c r="K3" s="10"/>
      <c r="L3" s="12"/>
    </row>
    <row r="4">
      <c r="A4" s="13" t="s">
        <v>5</v>
      </c>
      <c r="B4" s="10"/>
      <c r="C4" s="10"/>
      <c r="D4" s="14">
        <f>'Stavební rozpočet'!C4</f>
      </c>
      <c r="E4" s="10"/>
      <c r="F4" s="10"/>
      <c r="G4" s="14" t="s">
        <v>11</v>
      </c>
      <c r="H4" s="14">
        <f>'Stavební rozpočet'!G4</f>
      </c>
      <c r="I4" s="14" t="s">
        <v>6</v>
      </c>
      <c r="J4" s="14">
        <f>'Stavební rozpočet'!I4</f>
      </c>
      <c r="K4" s="10"/>
      <c r="L4" s="12"/>
    </row>
    <row r="5" customHeight="true" ht="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2"/>
    </row>
    <row r="6">
      <c r="A6" s="13" t="s">
        <v>8</v>
      </c>
      <c r="B6" s="10"/>
      <c r="C6" s="10"/>
      <c r="D6" s="14">
        <f>'Stavební rozpočet'!C6</f>
      </c>
      <c r="E6" s="10"/>
      <c r="F6" s="10"/>
      <c r="G6" s="14" t="s">
        <v>12</v>
      </c>
      <c r="H6" s="14">
        <f>'Stavební rozpočet'!G6</f>
      </c>
      <c r="I6" s="14" t="s">
        <v>9</v>
      </c>
      <c r="J6" s="14">
        <f>'Stavební rozpočet'!I6</f>
      </c>
      <c r="K6" s="10"/>
      <c r="L6" s="12"/>
    </row>
    <row r="7" customHeight="true" ht="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</row>
    <row r="8">
      <c r="A8" s="13" t="s">
        <v>14</v>
      </c>
      <c r="B8" s="10"/>
      <c r="C8" s="10"/>
      <c r="D8" s="14">
        <f>'Stavební rozpočet'!C8</f>
      </c>
      <c r="E8" s="10"/>
      <c r="F8" s="10"/>
      <c r="G8" s="14" t="s">
        <v>73</v>
      </c>
      <c r="H8" s="14">
        <f>'Stavební rozpočet'!G8</f>
      </c>
      <c r="I8" s="14" t="s">
        <v>15</v>
      </c>
      <c r="J8" s="14">
        <f>'Stavební rozpočet'!I8</f>
      </c>
      <c r="K8" s="10"/>
      <c r="L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>
      <c r="A10" s="97" t="s">
        <v>74</v>
      </c>
      <c r="B10" s="98"/>
      <c r="C10" s="98"/>
      <c r="D10" s="98"/>
      <c r="E10" s="98"/>
      <c r="F10" s="98"/>
      <c r="G10" s="98"/>
      <c r="H10" s="98"/>
      <c r="I10" s="99"/>
      <c r="J10" s="100" t="s">
        <v>75</v>
      </c>
      <c r="K10" s="101"/>
      <c r="L10" s="102"/>
    </row>
    <row r="11">
      <c r="A11" s="103" t="s">
        <v>76</v>
      </c>
      <c r="B11" s="104"/>
      <c r="C11" s="104"/>
      <c r="D11" s="104"/>
      <c r="E11" s="104"/>
      <c r="F11" s="104"/>
      <c r="G11" s="104"/>
      <c r="H11" s="104"/>
      <c r="I11" s="105"/>
      <c r="J11" s="106" t="s">
        <v>77</v>
      </c>
      <c r="K11" s="107" t="s">
        <v>28</v>
      </c>
      <c r="L11" s="108" t="s">
        <v>78</v>
      </c>
    </row>
    <row r="12">
      <c r="A12" s="109" t="s">
        <v>79</v>
      </c>
      <c r="B12" s="110"/>
      <c r="C12" s="110"/>
      <c r="D12" s="110"/>
      <c r="E12" s="110"/>
      <c r="F12" s="110"/>
      <c r="G12" s="110"/>
      <c r="H12" s="110"/>
      <c r="I12" s="110"/>
      <c r="J12" s="111">
        <f>'Stavební rozpočet'!H12</f>
      </c>
      <c r="K12" s="111">
        <f>'Stavební rozpočet'!I12</f>
      </c>
      <c r="L12" s="112">
        <f>'Stavební rozpočet'!J12</f>
      </c>
      <c r="M12" s="113" t="s">
        <v>80</v>
      </c>
      <c r="N12" s="114">
        <f>IF(M12="F",0,L12)</f>
      </c>
      <c r="O12" s="10" t="s">
        <v>81</v>
      </c>
      <c r="P12" s="114">
        <f>IF(M12="T",0,L12)</f>
      </c>
    </row>
    <row r="13">
      <c r="A13" s="17" t="s">
        <v>82</v>
      </c>
      <c r="B13" s="18"/>
      <c r="C13" s="18"/>
      <c r="D13" s="18"/>
      <c r="E13" s="18"/>
      <c r="F13" s="18"/>
      <c r="G13" s="18"/>
      <c r="H13" s="18"/>
      <c r="I13" s="18"/>
      <c r="J13" s="115">
        <f>'Stavební rozpočet'!H92</f>
      </c>
      <c r="K13" s="115">
        <f>'Stavební rozpočet'!I92</f>
      </c>
      <c r="L13" s="116">
        <f>'Stavební rozpočet'!J92</f>
      </c>
      <c r="M13" s="113" t="s">
        <v>80</v>
      </c>
      <c r="N13" s="114">
        <f>IF(M13="F",0,L13)</f>
      </c>
      <c r="O13" s="10" t="s">
        <v>83</v>
      </c>
      <c r="P13" s="114">
        <f>IF(M13="T",0,L13)</f>
      </c>
    </row>
    <row r="14">
      <c r="J14" s="117" t="s">
        <v>84</v>
      </c>
      <c r="K14" s="117"/>
      <c r="L14" s="118">
        <f>SUM(P12:P13)</f>
      </c>
    </row>
    <row r="15">
      <c r="A15" s="119" t="s">
        <v>58</v>
      </c>
    </row>
    <row r="16" customHeight="true" ht="12.75">
      <c r="A16" s="14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8B3"/>
  <mergeCells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H8:H9"/>
    <mergeCell ref="I2:I3"/>
    <mergeCell ref="I4:I5"/>
    <mergeCell ref="I6:I7"/>
    <mergeCell ref="I8:I9"/>
    <mergeCell ref="J2:L3"/>
    <mergeCell ref="J4:L5"/>
    <mergeCell ref="J6:L7"/>
    <mergeCell ref="J8:L9"/>
    <mergeCell ref="A10:I10"/>
    <mergeCell ref="A11:I11"/>
    <mergeCell ref="J10:L10"/>
    <mergeCell ref="A12:I12"/>
    <mergeCell ref="A13:I13"/>
    <mergeCell ref="J14:K14"/>
    <mergeCell ref="A16:L1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110"/>
  <sheetViews>
    <sheetView workbookViewId="0" showZeros="true" showFormulas="false" showGridLines="true" showRowColHeaders="true">
      <pane topLeftCell="A12" state="frozen" activePane="bottomLeft" ySplit="11"/>
      <selection pane="bottomLeft" sqref="A110:K110" activeCell="A110"/>
    </sheetView>
  </sheetViews>
  <sheetFormatPr defaultColWidth="12.140625" customHeight="true" defaultRowHeight="15"/>
  <cols>
    <col max="1" min="1" style="0" width="3.99609375" customWidth="true"/>
    <col max="2" min="2" style="0" width="17.85546875" customWidth="true"/>
    <col max="3" min="3" style="0" width="42.85546875" customWidth="true"/>
    <col max="4" min="4" style="0" width="35.7109375" customWidth="true"/>
    <col max="5" min="5" style="0" width="9.42578125" customWidth="true"/>
    <col max="6" min="6" style="0" width="12.85546875" customWidth="true"/>
    <col max="7" min="7" style="0" width="12" customWidth="true"/>
    <col max="10" min="8" style="0" width="15.7109375" customWidth="true"/>
    <col max="11" min="11" style="0" width="16.99609375" customWidth="true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AS1" s="120">
        <f>SUM(AJ1:AJ2)</f>
      </c>
      <c r="AT1" s="120">
        <f>SUM(AK1:AK2)</f>
      </c>
      <c r="AU1" s="120">
        <f>SUM(AL1:AL2)</f>
      </c>
    </row>
    <row r="2">
      <c r="A2" s="3" t="s">
        <v>1</v>
      </c>
      <c r="B2" s="4"/>
      <c r="C2" s="5" t="s">
        <v>86</v>
      </c>
      <c r="D2" s="6"/>
      <c r="E2" s="4" t="s">
        <v>72</v>
      </c>
      <c r="F2" s="4"/>
      <c r="G2" s="121" t="s">
        <v>74</v>
      </c>
      <c r="H2" s="7" t="s">
        <v>2</v>
      </c>
      <c r="I2" s="7" t="s">
        <v>87</v>
      </c>
      <c r="J2" s="4"/>
      <c r="K2" s="8"/>
    </row>
    <row r="3">
      <c r="A3" s="9"/>
      <c r="B3" s="10"/>
      <c r="C3" s="11"/>
      <c r="D3" s="11"/>
      <c r="E3" s="10"/>
      <c r="F3" s="10"/>
      <c r="G3" s="122"/>
      <c r="H3" s="10"/>
      <c r="I3" s="10"/>
      <c r="J3" s="10"/>
      <c r="K3" s="12"/>
    </row>
    <row r="4">
      <c r="A4" s="13" t="s">
        <v>5</v>
      </c>
      <c r="B4" s="10"/>
      <c r="C4" s="14" t="s">
        <v>88</v>
      </c>
      <c r="D4" s="10"/>
      <c r="E4" s="10" t="s">
        <v>11</v>
      </c>
      <c r="F4" s="10"/>
      <c r="G4" s="122" t="s">
        <v>74</v>
      </c>
      <c r="H4" s="14" t="s">
        <v>6</v>
      </c>
      <c r="I4" s="14" t="s">
        <v>89</v>
      </c>
      <c r="J4" s="10"/>
      <c r="K4" s="12"/>
    </row>
    <row r="5">
      <c r="A5" s="9"/>
      <c r="B5" s="10"/>
      <c r="C5" s="10"/>
      <c r="D5" s="10"/>
      <c r="E5" s="10"/>
      <c r="F5" s="10"/>
      <c r="G5" s="122"/>
      <c r="H5" s="10"/>
      <c r="I5" s="10"/>
      <c r="J5" s="10"/>
      <c r="K5" s="12"/>
    </row>
    <row r="6">
      <c r="A6" s="13" t="s">
        <v>8</v>
      </c>
      <c r="B6" s="10"/>
      <c r="C6" s="14" t="s">
        <v>74</v>
      </c>
      <c r="D6" s="10"/>
      <c r="E6" s="10" t="s">
        <v>12</v>
      </c>
      <c r="F6" s="10"/>
      <c r="G6" s="122" t="s">
        <v>74</v>
      </c>
      <c r="H6" s="14" t="s">
        <v>9</v>
      </c>
      <c r="I6" s="122" t="s">
        <v>90</v>
      </c>
      <c r="J6" s="122"/>
      <c r="K6" s="123"/>
    </row>
    <row r="7">
      <c r="A7" s="9"/>
      <c r="B7" s="10"/>
      <c r="C7" s="10"/>
      <c r="D7" s="10"/>
      <c r="E7" s="10"/>
      <c r="F7" s="10"/>
      <c r="G7" s="122"/>
      <c r="H7" s="10"/>
      <c r="I7" s="122"/>
      <c r="J7" s="122"/>
      <c r="K7" s="123"/>
    </row>
    <row r="8">
      <c r="A8" s="13" t="s">
        <v>14</v>
      </c>
      <c r="B8" s="10"/>
      <c r="C8" s="14" t="s">
        <v>74</v>
      </c>
      <c r="D8" s="10"/>
      <c r="E8" s="10" t="s">
        <v>73</v>
      </c>
      <c r="F8" s="10"/>
      <c r="G8" s="122" t="s">
        <v>91</v>
      </c>
      <c r="H8" s="14" t="s">
        <v>15</v>
      </c>
      <c r="I8" s="122" t="s">
        <v>90</v>
      </c>
      <c r="J8" s="122"/>
      <c r="K8" s="123"/>
    </row>
    <row r="9">
      <c r="A9" s="94"/>
      <c r="B9" s="95"/>
      <c r="C9" s="95"/>
      <c r="D9" s="95"/>
      <c r="E9" s="95"/>
      <c r="F9" s="95"/>
      <c r="G9" s="124"/>
      <c r="H9" s="95"/>
      <c r="I9" s="124"/>
      <c r="J9" s="124"/>
      <c r="K9" s="125"/>
    </row>
    <row r="10">
      <c r="A10" s="126" t="s">
        <v>92</v>
      </c>
      <c r="B10" s="127" t="s">
        <v>93</v>
      </c>
      <c r="C10" s="128" t="s">
        <v>94</v>
      </c>
      <c r="D10" s="129"/>
      <c r="E10" s="127" t="s">
        <v>95</v>
      </c>
      <c r="F10" s="130" t="s">
        <v>96</v>
      </c>
      <c r="G10" s="131" t="s">
        <v>97</v>
      </c>
      <c r="H10" s="100" t="s">
        <v>75</v>
      </c>
      <c r="I10" s="101"/>
      <c r="J10" s="102"/>
      <c r="K10" s="132" t="s">
        <v>98</v>
      </c>
      <c r="BK10" s="133" t="s">
        <v>99</v>
      </c>
      <c r="BL10" s="134" t="s">
        <v>100</v>
      </c>
      <c r="BW10" s="134" t="s">
        <v>101</v>
      </c>
    </row>
    <row r="11">
      <c r="A11" s="135" t="s">
        <v>74</v>
      </c>
      <c r="B11" s="136" t="s">
        <v>74</v>
      </c>
      <c r="C11" s="137" t="s">
        <v>102</v>
      </c>
      <c r="D11" s="138"/>
      <c r="E11" s="136" t="s">
        <v>74</v>
      </c>
      <c r="F11" s="136" t="s">
        <v>74</v>
      </c>
      <c r="G11" s="139" t="s">
        <v>103</v>
      </c>
      <c r="H11" s="106" t="s">
        <v>77</v>
      </c>
      <c r="I11" s="107" t="s">
        <v>28</v>
      </c>
      <c r="J11" s="108" t="s">
        <v>78</v>
      </c>
      <c r="K11" s="140" t="s">
        <v>104</v>
      </c>
      <c r="Z11" s="133" t="s">
        <v>105</v>
      </c>
      <c r="AA11" s="133" t="s">
        <v>106</v>
      </c>
      <c r="AB11" s="133" t="s">
        <v>107</v>
      </c>
      <c r="AC11" s="133" t="s">
        <v>108</v>
      </c>
      <c r="AD11" s="133" t="s">
        <v>109</v>
      </c>
      <c r="AE11" s="133" t="s">
        <v>110</v>
      </c>
      <c r="AF11" s="133" t="s">
        <v>111</v>
      </c>
      <c r="AG11" s="133" t="s">
        <v>112</v>
      </c>
      <c r="AH11" s="133" t="s">
        <v>113</v>
      </c>
      <c r="BH11" s="133" t="s">
        <v>114</v>
      </c>
      <c r="BI11" s="133" t="s">
        <v>115</v>
      </c>
      <c r="BJ11" s="133" t="s">
        <v>116</v>
      </c>
    </row>
    <row r="12">
      <c r="A12" s="141" t="s">
        <v>10</v>
      </c>
      <c r="B12" s="142" t="s">
        <v>10</v>
      </c>
      <c r="C12" s="143" t="s">
        <v>79</v>
      </c>
      <c r="D12" s="142"/>
      <c r="E12" s="144" t="s">
        <v>74</v>
      </c>
      <c r="F12" s="144" t="s">
        <v>74</v>
      </c>
      <c r="G12" s="145" t="s">
        <v>74</v>
      </c>
      <c r="H12" s="146">
        <f>H13+H18+H22+H24+H48+H51+H60+H66+H76+H78+H81+H89</f>
      </c>
      <c r="I12" s="146">
        <f>I13+I18+I22+I24+I48+I51+I60+I66+I76+I78+I81+I89</f>
      </c>
      <c r="J12" s="146">
        <f>J13+J18+J22+J24+J48+J51+J60+J66+J76+J78+J81+J89</f>
      </c>
      <c r="K12" s="147" t="s">
        <v>10</v>
      </c>
    </row>
    <row r="13">
      <c r="A13" s="148" t="s">
        <v>10</v>
      </c>
      <c r="B13" s="149" t="s">
        <v>117</v>
      </c>
      <c r="C13" s="150" t="s">
        <v>118</v>
      </c>
      <c r="D13" s="149"/>
      <c r="E13" s="151" t="s">
        <v>74</v>
      </c>
      <c r="F13" s="151" t="s">
        <v>74</v>
      </c>
      <c r="G13" s="152" t="s">
        <v>74</v>
      </c>
      <c r="H13" s="120">
        <f>SUM(H14:H17)</f>
      </c>
      <c r="I13" s="120">
        <f>SUM(I14:I17)</f>
      </c>
      <c r="J13" s="120">
        <f>SUM(J14:J17)</f>
      </c>
      <c r="K13" s="153" t="s">
        <v>10</v>
      </c>
      <c r="AI13" s="133" t="s">
        <v>81</v>
      </c>
      <c r="AS13" s="120">
        <f>SUM(AJ14:AJ17)</f>
      </c>
      <c r="AT13" s="120">
        <f>SUM(AK14:AK17)</f>
      </c>
      <c r="AU13" s="120">
        <f>SUM(AL14:AL17)</f>
      </c>
    </row>
    <row r="14">
      <c r="A14" s="9" t="s">
        <v>119</v>
      </c>
      <c r="B14" s="10" t="s">
        <v>120</v>
      </c>
      <c r="C14" s="14" t="s">
        <v>121</v>
      </c>
      <c r="D14" s="10"/>
      <c r="E14" s="10" t="s">
        <v>122</v>
      </c>
      <c r="F14" s="114" t="n">
        <v>1378.26</v>
      </c>
      <c r="G14" s="154" t="n">
        <v>0</v>
      </c>
      <c r="H14" s="114">
        <f>F14*AO14</f>
      </c>
      <c r="I14" s="114">
        <f>F14*AP14</f>
      </c>
      <c r="J14" s="114">
        <f>F14*G14</f>
      </c>
      <c r="K14" s="155" t="s">
        <v>123</v>
      </c>
      <c r="Z14" s="114">
        <f>IF(AQ14="5",BJ14,0)</f>
      </c>
      <c r="AB14" s="114">
        <f>IF(AQ14="1",BH14,0)</f>
      </c>
      <c r="AC14" s="114">
        <f>IF(AQ14="1",BI14,0)</f>
      </c>
      <c r="AD14" s="114">
        <f>IF(AQ14="7",BH14,0)</f>
      </c>
      <c r="AE14" s="114">
        <f>IF(AQ14="7",BI14,0)</f>
      </c>
      <c r="AF14" s="114">
        <f>IF(AQ14="2",BH14,0)</f>
      </c>
      <c r="AG14" s="114">
        <f>IF(AQ14="2",BI14,0)</f>
      </c>
      <c r="AH14" s="114">
        <f>IF(AQ14="0",BJ14,0)</f>
      </c>
      <c r="AI14" s="133" t="s">
        <v>81</v>
      </c>
      <c r="AJ14" s="114">
        <f>IF(AN14=0,J14,0)</f>
      </c>
      <c r="AK14" s="114">
        <f>IF(AN14=12,J14,0)</f>
      </c>
      <c r="AL14" s="114">
        <f>IF(AN14=21,J14,0)</f>
      </c>
      <c r="AN14" s="114" t="n">
        <v>21</v>
      </c>
      <c r="AO14" s="114">
        <f>G14*0</f>
      </c>
      <c r="AP14" s="114">
        <f>G14*(1-0)</f>
      </c>
      <c r="AQ14" s="156" t="s">
        <v>119</v>
      </c>
      <c r="AV14" s="114">
        <f>AW14+AX14</f>
      </c>
      <c r="AW14" s="114">
        <f>F14*AO14</f>
      </c>
      <c r="AX14" s="114">
        <f>F14*AP14</f>
      </c>
      <c r="AY14" s="156" t="s">
        <v>124</v>
      </c>
      <c r="AZ14" s="156" t="s">
        <v>125</v>
      </c>
      <c r="BA14" s="133" t="s">
        <v>126</v>
      </c>
      <c r="BC14" s="114">
        <f>AW14+AX14</f>
      </c>
      <c r="BD14" s="114">
        <f>G14/(100-BE14)*100</f>
      </c>
      <c r="BE14" s="114" t="n">
        <v>0</v>
      </c>
      <c r="BF14" s="114">
        <f>14</f>
      </c>
      <c r="BH14" s="114">
        <f>F14*AO14</f>
      </c>
      <c r="BI14" s="114">
        <f>F14*AP14</f>
      </c>
      <c r="BJ14" s="114">
        <f>F14*G14</f>
      </c>
      <c r="BK14" s="114"/>
      <c r="BL14" s="114" t="n">
        <v>12</v>
      </c>
      <c r="BW14" s="114" t="n">
        <v>21</v>
      </c>
      <c r="BX14" s="14" t="s">
        <v>121</v>
      </c>
    </row>
    <row r="15">
      <c r="A15" s="9" t="s">
        <v>127</v>
      </c>
      <c r="B15" s="10" t="s">
        <v>128</v>
      </c>
      <c r="C15" s="14" t="s">
        <v>129</v>
      </c>
      <c r="D15" s="10"/>
      <c r="E15" s="10" t="s">
        <v>122</v>
      </c>
      <c r="F15" s="114" t="n">
        <v>240</v>
      </c>
      <c r="G15" s="154" t="n">
        <v>0</v>
      </c>
      <c r="H15" s="114">
        <f>F15*AO15</f>
      </c>
      <c r="I15" s="114">
        <f>F15*AP15</f>
      </c>
      <c r="J15" s="114">
        <f>F15*G15</f>
      </c>
      <c r="K15" s="155" t="s">
        <v>123</v>
      </c>
      <c r="Z15" s="114">
        <f>IF(AQ15="5",BJ15,0)</f>
      </c>
      <c r="AB15" s="114">
        <f>IF(AQ15="1",BH15,0)</f>
      </c>
      <c r="AC15" s="114">
        <f>IF(AQ15="1",BI15,0)</f>
      </c>
      <c r="AD15" s="114">
        <f>IF(AQ15="7",BH15,0)</f>
      </c>
      <c r="AE15" s="114">
        <f>IF(AQ15="7",BI15,0)</f>
      </c>
      <c r="AF15" s="114">
        <f>IF(AQ15="2",BH15,0)</f>
      </c>
      <c r="AG15" s="114">
        <f>IF(AQ15="2",BI15,0)</f>
      </c>
      <c r="AH15" s="114">
        <f>IF(AQ15="0",BJ15,0)</f>
      </c>
      <c r="AI15" s="133" t="s">
        <v>81</v>
      </c>
      <c r="AJ15" s="114">
        <f>IF(AN15=0,J15,0)</f>
      </c>
      <c r="AK15" s="114">
        <f>IF(AN15=12,J15,0)</f>
      </c>
      <c r="AL15" s="114">
        <f>IF(AN15=21,J15,0)</f>
      </c>
      <c r="AN15" s="114" t="n">
        <v>21</v>
      </c>
      <c r="AO15" s="114">
        <f>G15*0</f>
      </c>
      <c r="AP15" s="114">
        <f>G15*(1-0)</f>
      </c>
      <c r="AQ15" s="156" t="s">
        <v>119</v>
      </c>
      <c r="AV15" s="114">
        <f>AW15+AX15</f>
      </c>
      <c r="AW15" s="114">
        <f>F15*AO15</f>
      </c>
      <c r="AX15" s="114">
        <f>F15*AP15</f>
      </c>
      <c r="AY15" s="156" t="s">
        <v>124</v>
      </c>
      <c r="AZ15" s="156" t="s">
        <v>125</v>
      </c>
      <c r="BA15" s="133" t="s">
        <v>126</v>
      </c>
      <c r="BC15" s="114">
        <f>AW15+AX15</f>
      </c>
      <c r="BD15" s="114">
        <f>G15/(100-BE15)*100</f>
      </c>
      <c r="BE15" s="114" t="n">
        <v>0</v>
      </c>
      <c r="BF15" s="114">
        <f>15</f>
      </c>
      <c r="BH15" s="114">
        <f>F15*AO15</f>
      </c>
      <c r="BI15" s="114">
        <f>F15*AP15</f>
      </c>
      <c r="BJ15" s="114">
        <f>F15*G15</f>
      </c>
      <c r="BK15" s="114"/>
      <c r="BL15" s="114" t="n">
        <v>12</v>
      </c>
      <c r="BW15" s="114" t="n">
        <v>21</v>
      </c>
      <c r="BX15" s="14" t="s">
        <v>129</v>
      </c>
    </row>
    <row r="16">
      <c r="A16" s="9" t="s">
        <v>130</v>
      </c>
      <c r="B16" s="10" t="s">
        <v>131</v>
      </c>
      <c r="C16" s="14" t="s">
        <v>132</v>
      </c>
      <c r="D16" s="10"/>
      <c r="E16" s="10" t="s">
        <v>133</v>
      </c>
      <c r="F16" s="114" t="n">
        <v>252</v>
      </c>
      <c r="G16" s="154" t="n">
        <v>0</v>
      </c>
      <c r="H16" s="114">
        <f>F16*AO16</f>
      </c>
      <c r="I16" s="114">
        <f>F16*AP16</f>
      </c>
      <c r="J16" s="114">
        <f>F16*G16</f>
      </c>
      <c r="K16" s="155" t="s">
        <v>123</v>
      </c>
      <c r="Z16" s="114">
        <f>IF(AQ16="5",BJ16,0)</f>
      </c>
      <c r="AB16" s="114">
        <f>IF(AQ16="1",BH16,0)</f>
      </c>
      <c r="AC16" s="114">
        <f>IF(AQ16="1",BI16,0)</f>
      </c>
      <c r="AD16" s="114">
        <f>IF(AQ16="7",BH16,0)</f>
      </c>
      <c r="AE16" s="114">
        <f>IF(AQ16="7",BI16,0)</f>
      </c>
      <c r="AF16" s="114">
        <f>IF(AQ16="2",BH16,0)</f>
      </c>
      <c r="AG16" s="114">
        <f>IF(AQ16="2",BI16,0)</f>
      </c>
      <c r="AH16" s="114">
        <f>IF(AQ16="0",BJ16,0)</f>
      </c>
      <c r="AI16" s="133" t="s">
        <v>81</v>
      </c>
      <c r="AJ16" s="114">
        <f>IF(AN16=0,J16,0)</f>
      </c>
      <c r="AK16" s="114">
        <f>IF(AN16=12,J16,0)</f>
      </c>
      <c r="AL16" s="114">
        <f>IF(AN16=21,J16,0)</f>
      </c>
      <c r="AN16" s="114" t="n">
        <v>21</v>
      </c>
      <c r="AO16" s="114">
        <f>G16*0.010795588</f>
      </c>
      <c r="AP16" s="114">
        <f>G16*(1-0.010795588)</f>
      </c>
      <c r="AQ16" s="156" t="s">
        <v>134</v>
      </c>
      <c r="AV16" s="114">
        <f>AW16+AX16</f>
      </c>
      <c r="AW16" s="114">
        <f>F16*AO16</f>
      </c>
      <c r="AX16" s="114">
        <f>F16*AP16</f>
      </c>
      <c r="AY16" s="156" t="s">
        <v>124</v>
      </c>
      <c r="AZ16" s="156" t="s">
        <v>125</v>
      </c>
      <c r="BA16" s="133" t="s">
        <v>126</v>
      </c>
      <c r="BC16" s="114">
        <f>AW16+AX16</f>
      </c>
      <c r="BD16" s="114">
        <f>G16/(100-BE16)*100</f>
      </c>
      <c r="BE16" s="114" t="n">
        <v>0</v>
      </c>
      <c r="BF16" s="114">
        <f>16</f>
      </c>
      <c r="BH16" s="114">
        <f>F16*AO16</f>
      </c>
      <c r="BI16" s="114">
        <f>F16*AP16</f>
      </c>
      <c r="BJ16" s="114">
        <f>F16*G16</f>
      </c>
      <c r="BK16" s="114"/>
      <c r="BL16" s="114" t="n">
        <v>12</v>
      </c>
      <c r="BW16" s="114" t="n">
        <v>21</v>
      </c>
      <c r="BX16" s="14" t="s">
        <v>132</v>
      </c>
    </row>
    <row r="17">
      <c r="A17" s="9" t="s">
        <v>135</v>
      </c>
      <c r="B17" s="10" t="s">
        <v>136</v>
      </c>
      <c r="C17" s="14" t="s">
        <v>137</v>
      </c>
      <c r="D17" s="10"/>
      <c r="E17" s="10" t="s">
        <v>122</v>
      </c>
      <c r="F17" s="114" t="n">
        <v>140</v>
      </c>
      <c r="G17" s="154" t="n">
        <v>0</v>
      </c>
      <c r="H17" s="114">
        <f>F17*AO17</f>
      </c>
      <c r="I17" s="114">
        <f>F17*AP17</f>
      </c>
      <c r="J17" s="114">
        <f>F17*G17</f>
      </c>
      <c r="K17" s="155" t="s">
        <v>123</v>
      </c>
      <c r="Z17" s="114">
        <f>IF(AQ17="5",BJ17,0)</f>
      </c>
      <c r="AB17" s="114">
        <f>IF(AQ17="1",BH17,0)</f>
      </c>
      <c r="AC17" s="114">
        <f>IF(AQ17="1",BI17,0)</f>
      </c>
      <c r="AD17" s="114">
        <f>IF(AQ17="7",BH17,0)</f>
      </c>
      <c r="AE17" s="114">
        <f>IF(AQ17="7",BI17,0)</f>
      </c>
      <c r="AF17" s="114">
        <f>IF(AQ17="2",BH17,0)</f>
      </c>
      <c r="AG17" s="114">
        <f>IF(AQ17="2",BI17,0)</f>
      </c>
      <c r="AH17" s="114">
        <f>IF(AQ17="0",BJ17,0)</f>
      </c>
      <c r="AI17" s="133" t="s">
        <v>81</v>
      </c>
      <c r="AJ17" s="114">
        <f>IF(AN17=0,J17,0)</f>
      </c>
      <c r="AK17" s="114">
        <f>IF(AN17=12,J17,0)</f>
      </c>
      <c r="AL17" s="114">
        <f>IF(AN17=21,J17,0)</f>
      </c>
      <c r="AN17" s="114" t="n">
        <v>21</v>
      </c>
      <c r="AO17" s="114">
        <f>G17*0</f>
      </c>
      <c r="AP17" s="114">
        <f>G17*(1-0)</f>
      </c>
      <c r="AQ17" s="156" t="s">
        <v>119</v>
      </c>
      <c r="AV17" s="114">
        <f>AW17+AX17</f>
      </c>
      <c r="AW17" s="114">
        <f>F17*AO17</f>
      </c>
      <c r="AX17" s="114">
        <f>F17*AP17</f>
      </c>
      <c r="AY17" s="156" t="s">
        <v>124</v>
      </c>
      <c r="AZ17" s="156" t="s">
        <v>125</v>
      </c>
      <c r="BA17" s="133" t="s">
        <v>126</v>
      </c>
      <c r="BC17" s="114">
        <f>AW17+AX17</f>
      </c>
      <c r="BD17" s="114">
        <f>G17/(100-BE17)*100</f>
      </c>
      <c r="BE17" s="114" t="n">
        <v>0</v>
      </c>
      <c r="BF17" s="114">
        <f>17</f>
      </c>
      <c r="BH17" s="114">
        <f>F17*AO17</f>
      </c>
      <c r="BI17" s="114">
        <f>F17*AP17</f>
      </c>
      <c r="BJ17" s="114">
        <f>F17*G17</f>
      </c>
      <c r="BK17" s="114"/>
      <c r="BL17" s="114" t="n">
        <v>12</v>
      </c>
      <c r="BW17" s="114" t="n">
        <v>21</v>
      </c>
      <c r="BX17" s="14" t="s">
        <v>137</v>
      </c>
    </row>
    <row r="18">
      <c r="A18" s="148" t="s">
        <v>10</v>
      </c>
      <c r="B18" s="149" t="s">
        <v>138</v>
      </c>
      <c r="C18" s="150" t="s">
        <v>139</v>
      </c>
      <c r="D18" s="149"/>
      <c r="E18" s="151" t="s">
        <v>74</v>
      </c>
      <c r="F18" s="151" t="s">
        <v>74</v>
      </c>
      <c r="G18" s="152" t="s">
        <v>74</v>
      </c>
      <c r="H18" s="120">
        <f>SUM(H19:H19)</f>
      </c>
      <c r="I18" s="120">
        <f>SUM(I19:I19)</f>
      </c>
      <c r="J18" s="120">
        <f>SUM(J19:J19)</f>
      </c>
      <c r="K18" s="153" t="s">
        <v>10</v>
      </c>
      <c r="AI18" s="133" t="s">
        <v>81</v>
      </c>
      <c r="AS18" s="120">
        <f>SUM(AJ19:AJ19)</f>
      </c>
      <c r="AT18" s="120">
        <f>SUM(AK19:AK19)</f>
      </c>
      <c r="AU18" s="120">
        <f>SUM(AL19:AL19)</f>
      </c>
    </row>
    <row r="19">
      <c r="A19" s="9" t="s">
        <v>134</v>
      </c>
      <c r="B19" s="10" t="s">
        <v>140</v>
      </c>
      <c r="C19" s="14" t="s">
        <v>141</v>
      </c>
      <c r="D19" s="10"/>
      <c r="E19" s="10" t="s">
        <v>122</v>
      </c>
      <c r="F19" s="114" t="n">
        <v>2.048</v>
      </c>
      <c r="G19" s="154" t="n">
        <v>0</v>
      </c>
      <c r="H19" s="114">
        <f>F19*AO19</f>
      </c>
      <c r="I19" s="114">
        <f>F19*AP19</f>
      </c>
      <c r="J19" s="114">
        <f>F19*G19</f>
      </c>
      <c r="K19" s="155" t="s">
        <v>123</v>
      </c>
      <c r="Z19" s="114">
        <f>IF(AQ19="5",BJ19,0)</f>
      </c>
      <c r="AB19" s="114">
        <f>IF(AQ19="1",BH19,0)</f>
      </c>
      <c r="AC19" s="114">
        <f>IF(AQ19="1",BI19,0)</f>
      </c>
      <c r="AD19" s="114">
        <f>IF(AQ19="7",BH19,0)</f>
      </c>
      <c r="AE19" s="114">
        <f>IF(AQ19="7",BI19,0)</f>
      </c>
      <c r="AF19" s="114">
        <f>IF(AQ19="2",BH19,0)</f>
      </c>
      <c r="AG19" s="114">
        <f>IF(AQ19="2",BI19,0)</f>
      </c>
      <c r="AH19" s="114">
        <f>IF(AQ19="0",BJ19,0)</f>
      </c>
      <c r="AI19" s="133" t="s">
        <v>81</v>
      </c>
      <c r="AJ19" s="114">
        <f>IF(AN19=0,J19,0)</f>
      </c>
      <c r="AK19" s="114">
        <f>IF(AN19=12,J19,0)</f>
      </c>
      <c r="AL19" s="114">
        <f>IF(AN19=21,J19,0)</f>
      </c>
      <c r="AN19" s="114" t="n">
        <v>21</v>
      </c>
      <c r="AO19" s="114">
        <f>G19*0</f>
      </c>
      <c r="AP19" s="114">
        <f>G19*(1-0)</f>
      </c>
      <c r="AQ19" s="156" t="s">
        <v>119</v>
      </c>
      <c r="AV19" s="114">
        <f>AW19+AX19</f>
      </c>
      <c r="AW19" s="114">
        <f>F19*AO19</f>
      </c>
      <c r="AX19" s="114">
        <f>F19*AP19</f>
      </c>
      <c r="AY19" s="156" t="s">
        <v>142</v>
      </c>
      <c r="AZ19" s="156" t="s">
        <v>125</v>
      </c>
      <c r="BA19" s="133" t="s">
        <v>126</v>
      </c>
      <c r="BC19" s="114">
        <f>AW19+AX19</f>
      </c>
      <c r="BD19" s="114">
        <f>G19/(100-BE19)*100</f>
      </c>
      <c r="BE19" s="114" t="n">
        <v>0</v>
      </c>
      <c r="BF19" s="114">
        <f>19</f>
      </c>
      <c r="BH19" s="114">
        <f>F19*AO19</f>
      </c>
      <c r="BI19" s="114">
        <f>F19*AP19</f>
      </c>
      <c r="BJ19" s="114">
        <f>F19*G19</f>
      </c>
      <c r="BK19" s="114"/>
      <c r="BL19" s="114" t="n">
        <v>13</v>
      </c>
      <c r="BW19" s="114" t="n">
        <v>21</v>
      </c>
      <c r="BX19" s="14" t="s">
        <v>141</v>
      </c>
    </row>
    <row r="20" customHeight="true" ht="13.5">
      <c r="A20" s="157"/>
      <c r="B20" s="158" t="s">
        <v>143</v>
      </c>
      <c r="C20" s="159" t="s">
        <v>144</v>
      </c>
      <c r="D20" s="160"/>
      <c r="E20" s="160"/>
      <c r="F20" s="160"/>
      <c r="G20" s="161"/>
      <c r="H20" s="160"/>
      <c r="I20" s="160"/>
      <c r="J20" s="160"/>
      <c r="K20" s="162"/>
    </row>
    <row r="21">
      <c r="A21" s="157"/>
      <c r="B21" s="158" t="s">
        <v>145</v>
      </c>
      <c r="C21" s="159" t="s">
        <v>146</v>
      </c>
      <c r="D21" s="160"/>
      <c r="E21" s="160"/>
      <c r="F21" s="160"/>
      <c r="G21" s="161"/>
      <c r="H21" s="160"/>
      <c r="I21" s="160"/>
      <c r="J21" s="160"/>
      <c r="K21" s="162"/>
      <c r="BX21" s="159" t="s">
        <v>146</v>
      </c>
    </row>
    <row r="22">
      <c r="A22" s="148" t="s">
        <v>10</v>
      </c>
      <c r="B22" s="149" t="s">
        <v>147</v>
      </c>
      <c r="C22" s="150" t="s">
        <v>148</v>
      </c>
      <c r="D22" s="149"/>
      <c r="E22" s="151" t="s">
        <v>74</v>
      </c>
      <c r="F22" s="151" t="s">
        <v>74</v>
      </c>
      <c r="G22" s="152" t="s">
        <v>74</v>
      </c>
      <c r="H22" s="120">
        <f>SUM(H23:H23)</f>
      </c>
      <c r="I22" s="120">
        <f>SUM(I23:I23)</f>
      </c>
      <c r="J22" s="120">
        <f>SUM(J23:J23)</f>
      </c>
      <c r="K22" s="153" t="s">
        <v>10</v>
      </c>
      <c r="AI22" s="133" t="s">
        <v>81</v>
      </c>
      <c r="AS22" s="120">
        <f>SUM(AJ23:AJ23)</f>
      </c>
      <c r="AT22" s="120">
        <f>SUM(AK23:AK23)</f>
      </c>
      <c r="AU22" s="120">
        <f>SUM(AL23:AL23)</f>
      </c>
    </row>
    <row r="23">
      <c r="A23" s="9" t="s">
        <v>149</v>
      </c>
      <c r="B23" s="10" t="s">
        <v>150</v>
      </c>
      <c r="C23" s="14" t="s">
        <v>151</v>
      </c>
      <c r="D23" s="10"/>
      <c r="E23" s="10" t="s">
        <v>122</v>
      </c>
      <c r="F23" s="114" t="n">
        <v>100</v>
      </c>
      <c r="G23" s="154" t="n">
        <v>0</v>
      </c>
      <c r="H23" s="114">
        <f>F23*AO23</f>
      </c>
      <c r="I23" s="114">
        <f>F23*AP23</f>
      </c>
      <c r="J23" s="114">
        <f>F23*G23</f>
      </c>
      <c r="K23" s="155" t="s">
        <v>123</v>
      </c>
      <c r="Z23" s="114">
        <f>IF(AQ23="5",BJ23,0)</f>
      </c>
      <c r="AB23" s="114">
        <f>IF(AQ23="1",BH23,0)</f>
      </c>
      <c r="AC23" s="114">
        <f>IF(AQ23="1",BI23,0)</f>
      </c>
      <c r="AD23" s="114">
        <f>IF(AQ23="7",BH23,0)</f>
      </c>
      <c r="AE23" s="114">
        <f>IF(AQ23="7",BI23,0)</f>
      </c>
      <c r="AF23" s="114">
        <f>IF(AQ23="2",BH23,0)</f>
      </c>
      <c r="AG23" s="114">
        <f>IF(AQ23="2",BI23,0)</f>
      </c>
      <c r="AH23" s="114">
        <f>IF(AQ23="0",BJ23,0)</f>
      </c>
      <c r="AI23" s="133" t="s">
        <v>81</v>
      </c>
      <c r="AJ23" s="114">
        <f>IF(AN23=0,J23,0)</f>
      </c>
      <c r="AK23" s="114">
        <f>IF(AN23=12,J23,0)</f>
      </c>
      <c r="AL23" s="114">
        <f>IF(AN23=21,J23,0)</f>
      </c>
      <c r="AN23" s="114" t="n">
        <v>21</v>
      </c>
      <c r="AO23" s="114">
        <f>G23*0</f>
      </c>
      <c r="AP23" s="114">
        <f>G23*(1-0)</f>
      </c>
      <c r="AQ23" s="156" t="s">
        <v>119</v>
      </c>
      <c r="AV23" s="114">
        <f>AW23+AX23</f>
      </c>
      <c r="AW23" s="114">
        <f>F23*AO23</f>
      </c>
      <c r="AX23" s="114">
        <f>F23*AP23</f>
      </c>
      <c r="AY23" s="156" t="s">
        <v>152</v>
      </c>
      <c r="AZ23" s="156" t="s">
        <v>125</v>
      </c>
      <c r="BA23" s="133" t="s">
        <v>126</v>
      </c>
      <c r="BC23" s="114">
        <f>AW23+AX23</f>
      </c>
      <c r="BD23" s="114">
        <f>G23/(100-BE23)*100</f>
      </c>
      <c r="BE23" s="114" t="n">
        <v>0</v>
      </c>
      <c r="BF23" s="114">
        <f>23</f>
      </c>
      <c r="BH23" s="114">
        <f>F23*AO23</f>
      </c>
      <c r="BI23" s="114">
        <f>F23*AP23</f>
      </c>
      <c r="BJ23" s="114">
        <f>F23*G23</f>
      </c>
      <c r="BK23" s="114"/>
      <c r="BL23" s="114" t="n">
        <v>17</v>
      </c>
      <c r="BW23" s="114" t="n">
        <v>21</v>
      </c>
      <c r="BX23" s="14" t="s">
        <v>151</v>
      </c>
    </row>
    <row r="24">
      <c r="A24" s="148" t="s">
        <v>10</v>
      </c>
      <c r="B24" s="149" t="s">
        <v>153</v>
      </c>
      <c r="C24" s="150" t="s">
        <v>154</v>
      </c>
      <c r="D24" s="149"/>
      <c r="E24" s="151" t="s">
        <v>74</v>
      </c>
      <c r="F24" s="151" t="s">
        <v>74</v>
      </c>
      <c r="G24" s="152" t="s">
        <v>74</v>
      </c>
      <c r="H24" s="120">
        <f>SUM(H25:H47)</f>
      </c>
      <c r="I24" s="120">
        <f>SUM(I25:I47)</f>
      </c>
      <c r="J24" s="120">
        <f>SUM(J25:J47)</f>
      </c>
      <c r="K24" s="153" t="s">
        <v>10</v>
      </c>
      <c r="AI24" s="133" t="s">
        <v>81</v>
      </c>
      <c r="AS24" s="120">
        <f>SUM(AJ25:AJ47)</f>
      </c>
      <c r="AT24" s="120">
        <f>SUM(AK25:AK47)</f>
      </c>
      <c r="AU24" s="120">
        <f>SUM(AL25:AL47)</f>
      </c>
    </row>
    <row r="25">
      <c r="A25" s="9" t="s">
        <v>155</v>
      </c>
      <c r="B25" s="10" t="s">
        <v>156</v>
      </c>
      <c r="C25" s="14" t="s">
        <v>157</v>
      </c>
      <c r="D25" s="10"/>
      <c r="E25" s="10" t="s">
        <v>158</v>
      </c>
      <c r="F25" s="114" t="n">
        <v>9188.4</v>
      </c>
      <c r="G25" s="154" t="n">
        <v>0</v>
      </c>
      <c r="H25" s="114">
        <f>F25*AO25</f>
      </c>
      <c r="I25" s="114">
        <f>F25*AP25</f>
      </c>
      <c r="J25" s="114">
        <f>F25*G25</f>
      </c>
      <c r="K25" s="155" t="s">
        <v>123</v>
      </c>
      <c r="Z25" s="114">
        <f>IF(AQ25="5",BJ25,0)</f>
      </c>
      <c r="AB25" s="114">
        <f>IF(AQ25="1",BH25,0)</f>
      </c>
      <c r="AC25" s="114">
        <f>IF(AQ25="1",BI25,0)</f>
      </c>
      <c r="AD25" s="114">
        <f>IF(AQ25="7",BH25,0)</f>
      </c>
      <c r="AE25" s="114">
        <f>IF(AQ25="7",BI25,0)</f>
      </c>
      <c r="AF25" s="114">
        <f>IF(AQ25="2",BH25,0)</f>
      </c>
      <c r="AG25" s="114">
        <f>IF(AQ25="2",BI25,0)</f>
      </c>
      <c r="AH25" s="114">
        <f>IF(AQ25="0",BJ25,0)</f>
      </c>
      <c r="AI25" s="133" t="s">
        <v>81</v>
      </c>
      <c r="AJ25" s="114">
        <f>IF(AN25=0,J25,0)</f>
      </c>
      <c r="AK25" s="114">
        <f>IF(AN25=12,J25,0)</f>
      </c>
      <c r="AL25" s="114">
        <f>IF(AN25=21,J25,0)</f>
      </c>
      <c r="AN25" s="114" t="n">
        <v>21</v>
      </c>
      <c r="AO25" s="114">
        <f>G25*0</f>
      </c>
      <c r="AP25" s="114">
        <f>G25*(1-0)</f>
      </c>
      <c r="AQ25" s="156" t="s">
        <v>119</v>
      </c>
      <c r="AV25" s="114">
        <f>AW25+AX25</f>
      </c>
      <c r="AW25" s="114">
        <f>F25*AO25</f>
      </c>
      <c r="AX25" s="114">
        <f>F25*AP25</f>
      </c>
      <c r="AY25" s="156" t="s">
        <v>159</v>
      </c>
      <c r="AZ25" s="156" t="s">
        <v>125</v>
      </c>
      <c r="BA25" s="133" t="s">
        <v>126</v>
      </c>
      <c r="BC25" s="114">
        <f>AW25+AX25</f>
      </c>
      <c r="BD25" s="114">
        <f>G25/(100-BE25)*100</f>
      </c>
      <c r="BE25" s="114" t="n">
        <v>0</v>
      </c>
      <c r="BF25" s="114">
        <f>25</f>
      </c>
      <c r="BH25" s="114">
        <f>F25*AO25</f>
      </c>
      <c r="BI25" s="114">
        <f>F25*AP25</f>
      </c>
      <c r="BJ25" s="114">
        <f>F25*G25</f>
      </c>
      <c r="BK25" s="114"/>
      <c r="BL25" s="114" t="n">
        <v>18</v>
      </c>
      <c r="BW25" s="114" t="n">
        <v>21</v>
      </c>
      <c r="BX25" s="14" t="s">
        <v>157</v>
      </c>
    </row>
    <row r="26">
      <c r="A26" s="9" t="s">
        <v>160</v>
      </c>
      <c r="B26" s="10" t="s">
        <v>161</v>
      </c>
      <c r="C26" s="14" t="s">
        <v>162</v>
      </c>
      <c r="D26" s="10"/>
      <c r="E26" s="10" t="s">
        <v>163</v>
      </c>
      <c r="F26" s="114" t="n">
        <v>20</v>
      </c>
      <c r="G26" s="154" t="n">
        <v>0</v>
      </c>
      <c r="H26" s="114">
        <f>F26*AO26</f>
      </c>
      <c r="I26" s="114">
        <f>F26*AP26</f>
      </c>
      <c r="J26" s="114">
        <f>F26*G26</f>
      </c>
      <c r="K26" s="155" t="s">
        <v>123</v>
      </c>
      <c r="Z26" s="114">
        <f>IF(AQ26="5",BJ26,0)</f>
      </c>
      <c r="AB26" s="114">
        <f>IF(AQ26="1",BH26,0)</f>
      </c>
      <c r="AC26" s="114">
        <f>IF(AQ26="1",BI26,0)</f>
      </c>
      <c r="AD26" s="114">
        <f>IF(AQ26="7",BH26,0)</f>
      </c>
      <c r="AE26" s="114">
        <f>IF(AQ26="7",BI26,0)</f>
      </c>
      <c r="AF26" s="114">
        <f>IF(AQ26="2",BH26,0)</f>
      </c>
      <c r="AG26" s="114">
        <f>IF(AQ26="2",BI26,0)</f>
      </c>
      <c r="AH26" s="114">
        <f>IF(AQ26="0",BJ26,0)</f>
      </c>
      <c r="AI26" s="133" t="s">
        <v>81</v>
      </c>
      <c r="AJ26" s="114">
        <f>IF(AN26=0,J26,0)</f>
      </c>
      <c r="AK26" s="114">
        <f>IF(AN26=12,J26,0)</f>
      </c>
      <c r="AL26" s="114">
        <f>IF(AN26=21,J26,0)</f>
      </c>
      <c r="AN26" s="114" t="n">
        <v>21</v>
      </c>
      <c r="AO26" s="114">
        <f>G26*0.281846026</f>
      </c>
      <c r="AP26" s="114">
        <f>G26*(1-0.281846026)</f>
      </c>
      <c r="AQ26" s="156" t="s">
        <v>119</v>
      </c>
      <c r="AV26" s="114">
        <f>AW26+AX26</f>
      </c>
      <c r="AW26" s="114">
        <f>F26*AO26</f>
      </c>
      <c r="AX26" s="114">
        <f>F26*AP26</f>
      </c>
      <c r="AY26" s="156" t="s">
        <v>159</v>
      </c>
      <c r="AZ26" s="156" t="s">
        <v>125</v>
      </c>
      <c r="BA26" s="133" t="s">
        <v>126</v>
      </c>
      <c r="BC26" s="114">
        <f>AW26+AX26</f>
      </c>
      <c r="BD26" s="114">
        <f>G26/(100-BE26)*100</f>
      </c>
      <c r="BE26" s="114" t="n">
        <v>0</v>
      </c>
      <c r="BF26" s="114">
        <f>26</f>
      </c>
      <c r="BH26" s="114">
        <f>F26*AO26</f>
      </c>
      <c r="BI26" s="114">
        <f>F26*AP26</f>
      </c>
      <c r="BJ26" s="114">
        <f>F26*G26</f>
      </c>
      <c r="BK26" s="114"/>
      <c r="BL26" s="114" t="n">
        <v>18</v>
      </c>
      <c r="BW26" s="114" t="n">
        <v>21</v>
      </c>
      <c r="BX26" s="14" t="s">
        <v>162</v>
      </c>
    </row>
    <row r="27">
      <c r="A27" s="9" t="s">
        <v>164</v>
      </c>
      <c r="B27" s="10" t="s">
        <v>165</v>
      </c>
      <c r="C27" s="14" t="s">
        <v>166</v>
      </c>
      <c r="D27" s="10"/>
      <c r="E27" s="10" t="s">
        <v>163</v>
      </c>
      <c r="F27" s="114" t="n">
        <v>3</v>
      </c>
      <c r="G27" s="154" t="n">
        <v>0</v>
      </c>
      <c r="H27" s="114">
        <f>F27*AO27</f>
      </c>
      <c r="I27" s="114">
        <f>F27*AP27</f>
      </c>
      <c r="J27" s="114">
        <f>F27*G27</f>
      </c>
      <c r="K27" s="155" t="s">
        <v>167</v>
      </c>
      <c r="Z27" s="114">
        <f>IF(AQ27="5",BJ27,0)</f>
      </c>
      <c r="AB27" s="114">
        <f>IF(AQ27="1",BH27,0)</f>
      </c>
      <c r="AC27" s="114">
        <f>IF(AQ27="1",BI27,0)</f>
      </c>
      <c r="AD27" s="114">
        <f>IF(AQ27="7",BH27,0)</f>
      </c>
      <c r="AE27" s="114">
        <f>IF(AQ27="7",BI27,0)</f>
      </c>
      <c r="AF27" s="114">
        <f>IF(AQ27="2",BH27,0)</f>
      </c>
      <c r="AG27" s="114">
        <f>IF(AQ27="2",BI27,0)</f>
      </c>
      <c r="AH27" s="114">
        <f>IF(AQ27="0",BJ27,0)</f>
      </c>
      <c r="AI27" s="133" t="s">
        <v>81</v>
      </c>
      <c r="AJ27" s="114">
        <f>IF(AN27=0,J27,0)</f>
      </c>
      <c r="AK27" s="114">
        <f>IF(AN27=12,J27,0)</f>
      </c>
      <c r="AL27" s="114">
        <f>IF(AN27=21,J27,0)</f>
      </c>
      <c r="AN27" s="114" t="n">
        <v>21</v>
      </c>
      <c r="AO27" s="114">
        <f>G27*1</f>
      </c>
      <c r="AP27" s="114">
        <f>G27*(1-1)</f>
      </c>
      <c r="AQ27" s="156" t="s">
        <v>119</v>
      </c>
      <c r="AV27" s="114">
        <f>AW27+AX27</f>
      </c>
      <c r="AW27" s="114">
        <f>F27*AO27</f>
      </c>
      <c r="AX27" s="114">
        <f>F27*AP27</f>
      </c>
      <c r="AY27" s="156" t="s">
        <v>159</v>
      </c>
      <c r="AZ27" s="156" t="s">
        <v>125</v>
      </c>
      <c r="BA27" s="133" t="s">
        <v>126</v>
      </c>
      <c r="BC27" s="114">
        <f>AW27+AX27</f>
      </c>
      <c r="BD27" s="114">
        <f>G27/(100-BE27)*100</f>
      </c>
      <c r="BE27" s="114" t="n">
        <v>0</v>
      </c>
      <c r="BF27" s="114">
        <f>27</f>
      </c>
      <c r="BH27" s="114">
        <f>F27*AO27</f>
      </c>
      <c r="BI27" s="114">
        <f>F27*AP27</f>
      </c>
      <c r="BJ27" s="114">
        <f>F27*G27</f>
      </c>
      <c r="BK27" s="114"/>
      <c r="BL27" s="114" t="n">
        <v>18</v>
      </c>
      <c r="BW27" s="114" t="n">
        <v>21</v>
      </c>
      <c r="BX27" s="14" t="s">
        <v>166</v>
      </c>
    </row>
    <row r="28">
      <c r="A28" s="157"/>
      <c r="B28" s="158" t="s">
        <v>145</v>
      </c>
      <c r="C28" s="159" t="s">
        <v>168</v>
      </c>
      <c r="D28" s="160"/>
      <c r="E28" s="160"/>
      <c r="F28" s="160"/>
      <c r="G28" s="161"/>
      <c r="H28" s="160"/>
      <c r="I28" s="160"/>
      <c r="J28" s="160"/>
      <c r="K28" s="162"/>
      <c r="BX28" s="159" t="s">
        <v>168</v>
      </c>
    </row>
    <row r="29">
      <c r="A29" s="9" t="s">
        <v>169</v>
      </c>
      <c r="B29" s="10" t="s">
        <v>170</v>
      </c>
      <c r="C29" s="14" t="s">
        <v>171</v>
      </c>
      <c r="D29" s="10"/>
      <c r="E29" s="10" t="s">
        <v>163</v>
      </c>
      <c r="F29" s="114" t="n">
        <v>2</v>
      </c>
      <c r="G29" s="154" t="n">
        <v>0</v>
      </c>
      <c r="H29" s="114">
        <f>F29*AO29</f>
      </c>
      <c r="I29" s="114">
        <f>F29*AP29</f>
      </c>
      <c r="J29" s="114">
        <f>F29*G29</f>
      </c>
      <c r="K29" s="155" t="s">
        <v>167</v>
      </c>
      <c r="Z29" s="114">
        <f>IF(AQ29="5",BJ29,0)</f>
      </c>
      <c r="AB29" s="114">
        <f>IF(AQ29="1",BH29,0)</f>
      </c>
      <c r="AC29" s="114">
        <f>IF(AQ29="1",BI29,0)</f>
      </c>
      <c r="AD29" s="114">
        <f>IF(AQ29="7",BH29,0)</f>
      </c>
      <c r="AE29" s="114">
        <f>IF(AQ29="7",BI29,0)</f>
      </c>
      <c r="AF29" s="114">
        <f>IF(AQ29="2",BH29,0)</f>
      </c>
      <c r="AG29" s="114">
        <f>IF(AQ29="2",BI29,0)</f>
      </c>
      <c r="AH29" s="114">
        <f>IF(AQ29="0",BJ29,0)</f>
      </c>
      <c r="AI29" s="133" t="s">
        <v>81</v>
      </c>
      <c r="AJ29" s="114">
        <f>IF(AN29=0,J29,0)</f>
      </c>
      <c r="AK29" s="114">
        <f>IF(AN29=12,J29,0)</f>
      </c>
      <c r="AL29" s="114">
        <f>IF(AN29=21,J29,0)</f>
      </c>
      <c r="AN29" s="114" t="n">
        <v>21</v>
      </c>
      <c r="AO29" s="114">
        <f>G29*1</f>
      </c>
      <c r="AP29" s="114">
        <f>G29*(1-1)</f>
      </c>
      <c r="AQ29" s="156" t="s">
        <v>119</v>
      </c>
      <c r="AV29" s="114">
        <f>AW29+AX29</f>
      </c>
      <c r="AW29" s="114">
        <f>F29*AO29</f>
      </c>
      <c r="AX29" s="114">
        <f>F29*AP29</f>
      </c>
      <c r="AY29" s="156" t="s">
        <v>159</v>
      </c>
      <c r="AZ29" s="156" t="s">
        <v>125</v>
      </c>
      <c r="BA29" s="133" t="s">
        <v>126</v>
      </c>
      <c r="BC29" s="114">
        <f>AW29+AX29</f>
      </c>
      <c r="BD29" s="114">
        <f>G29/(100-BE29)*100</f>
      </c>
      <c r="BE29" s="114" t="n">
        <v>0</v>
      </c>
      <c r="BF29" s="114">
        <f>29</f>
      </c>
      <c r="BH29" s="114">
        <f>F29*AO29</f>
      </c>
      <c r="BI29" s="114">
        <f>F29*AP29</f>
      </c>
      <c r="BJ29" s="114">
        <f>F29*G29</f>
      </c>
      <c r="BK29" s="114"/>
      <c r="BL29" s="114" t="n">
        <v>18</v>
      </c>
      <c r="BW29" s="114" t="n">
        <v>21</v>
      </c>
      <c r="BX29" s="14" t="s">
        <v>171</v>
      </c>
    </row>
    <row r="30">
      <c r="A30" s="157"/>
      <c r="B30" s="158" t="s">
        <v>145</v>
      </c>
      <c r="C30" s="159" t="s">
        <v>172</v>
      </c>
      <c r="D30" s="160"/>
      <c r="E30" s="160"/>
      <c r="F30" s="160"/>
      <c r="G30" s="161"/>
      <c r="H30" s="160"/>
      <c r="I30" s="160"/>
      <c r="J30" s="160"/>
      <c r="K30" s="162"/>
      <c r="BX30" s="159" t="s">
        <v>172</v>
      </c>
    </row>
    <row r="31">
      <c r="A31" s="9" t="s">
        <v>173</v>
      </c>
      <c r="B31" s="10" t="s">
        <v>174</v>
      </c>
      <c r="C31" s="14" t="s">
        <v>175</v>
      </c>
      <c r="D31" s="10"/>
      <c r="E31" s="10" t="s">
        <v>163</v>
      </c>
      <c r="F31" s="114" t="n">
        <v>2</v>
      </c>
      <c r="G31" s="154" t="n">
        <v>0</v>
      </c>
      <c r="H31" s="114">
        <f>F31*AO31</f>
      </c>
      <c r="I31" s="114">
        <f>F31*AP31</f>
      </c>
      <c r="J31" s="114">
        <f>F31*G31</f>
      </c>
      <c r="K31" s="155" t="s">
        <v>167</v>
      </c>
      <c r="Z31" s="114">
        <f>IF(AQ31="5",BJ31,0)</f>
      </c>
      <c r="AB31" s="114">
        <f>IF(AQ31="1",BH31,0)</f>
      </c>
      <c r="AC31" s="114">
        <f>IF(AQ31="1",BI31,0)</f>
      </c>
      <c r="AD31" s="114">
        <f>IF(AQ31="7",BH31,0)</f>
      </c>
      <c r="AE31" s="114">
        <f>IF(AQ31="7",BI31,0)</f>
      </c>
      <c r="AF31" s="114">
        <f>IF(AQ31="2",BH31,0)</f>
      </c>
      <c r="AG31" s="114">
        <f>IF(AQ31="2",BI31,0)</f>
      </c>
      <c r="AH31" s="114">
        <f>IF(AQ31="0",BJ31,0)</f>
      </c>
      <c r="AI31" s="133" t="s">
        <v>81</v>
      </c>
      <c r="AJ31" s="114">
        <f>IF(AN31=0,J31,0)</f>
      </c>
      <c r="AK31" s="114">
        <f>IF(AN31=12,J31,0)</f>
      </c>
      <c r="AL31" s="114">
        <f>IF(AN31=21,J31,0)</f>
      </c>
      <c r="AN31" s="114" t="n">
        <v>21</v>
      </c>
      <c r="AO31" s="114">
        <f>G31*1</f>
      </c>
      <c r="AP31" s="114">
        <f>G31*(1-1)</f>
      </c>
      <c r="AQ31" s="156" t="s">
        <v>119</v>
      </c>
      <c r="AV31" s="114">
        <f>AW31+AX31</f>
      </c>
      <c r="AW31" s="114">
        <f>F31*AO31</f>
      </c>
      <c r="AX31" s="114">
        <f>F31*AP31</f>
      </c>
      <c r="AY31" s="156" t="s">
        <v>159</v>
      </c>
      <c r="AZ31" s="156" t="s">
        <v>125</v>
      </c>
      <c r="BA31" s="133" t="s">
        <v>126</v>
      </c>
      <c r="BC31" s="114">
        <f>AW31+AX31</f>
      </c>
      <c r="BD31" s="114">
        <f>G31/(100-BE31)*100</f>
      </c>
      <c r="BE31" s="114" t="n">
        <v>0</v>
      </c>
      <c r="BF31" s="114">
        <f>31</f>
      </c>
      <c r="BH31" s="114">
        <f>F31*AO31</f>
      </c>
      <c r="BI31" s="114">
        <f>F31*AP31</f>
      </c>
      <c r="BJ31" s="114">
        <f>F31*G31</f>
      </c>
      <c r="BK31" s="114"/>
      <c r="BL31" s="114" t="n">
        <v>18</v>
      </c>
      <c r="BW31" s="114" t="n">
        <v>21</v>
      </c>
      <c r="BX31" s="14" t="s">
        <v>175</v>
      </c>
    </row>
    <row r="32">
      <c r="A32" s="157"/>
      <c r="B32" s="158" t="s">
        <v>145</v>
      </c>
      <c r="C32" s="159" t="s">
        <v>172</v>
      </c>
      <c r="D32" s="160"/>
      <c r="E32" s="160"/>
      <c r="F32" s="160"/>
      <c r="G32" s="161"/>
      <c r="H32" s="160"/>
      <c r="I32" s="160"/>
      <c r="J32" s="160"/>
      <c r="K32" s="162"/>
      <c r="BX32" s="159" t="s">
        <v>172</v>
      </c>
    </row>
    <row r="33">
      <c r="A33" s="9" t="s">
        <v>117</v>
      </c>
      <c r="B33" s="10" t="s">
        <v>176</v>
      </c>
      <c r="C33" s="14" t="s">
        <v>177</v>
      </c>
      <c r="D33" s="10"/>
      <c r="E33" s="10" t="s">
        <v>163</v>
      </c>
      <c r="F33" s="114" t="n">
        <v>3</v>
      </c>
      <c r="G33" s="154" t="n">
        <v>0</v>
      </c>
      <c r="H33" s="114">
        <f>F33*AO33</f>
      </c>
      <c r="I33" s="114">
        <f>F33*AP33</f>
      </c>
      <c r="J33" s="114">
        <f>F33*G33</f>
      </c>
      <c r="K33" s="155" t="s">
        <v>167</v>
      </c>
      <c r="Z33" s="114">
        <f>IF(AQ33="5",BJ33,0)</f>
      </c>
      <c r="AB33" s="114">
        <f>IF(AQ33="1",BH33,0)</f>
      </c>
      <c r="AC33" s="114">
        <f>IF(AQ33="1",BI33,0)</f>
      </c>
      <c r="AD33" s="114">
        <f>IF(AQ33="7",BH33,0)</f>
      </c>
      <c r="AE33" s="114">
        <f>IF(AQ33="7",BI33,0)</f>
      </c>
      <c r="AF33" s="114">
        <f>IF(AQ33="2",BH33,0)</f>
      </c>
      <c r="AG33" s="114">
        <f>IF(AQ33="2",BI33,0)</f>
      </c>
      <c r="AH33" s="114">
        <f>IF(AQ33="0",BJ33,0)</f>
      </c>
      <c r="AI33" s="133" t="s">
        <v>81</v>
      </c>
      <c r="AJ33" s="114">
        <f>IF(AN33=0,J33,0)</f>
      </c>
      <c r="AK33" s="114">
        <f>IF(AN33=12,J33,0)</f>
      </c>
      <c r="AL33" s="114">
        <f>IF(AN33=21,J33,0)</f>
      </c>
      <c r="AN33" s="114" t="n">
        <v>21</v>
      </c>
      <c r="AO33" s="114">
        <f>G33*1</f>
      </c>
      <c r="AP33" s="114">
        <f>G33*(1-1)</f>
      </c>
      <c r="AQ33" s="156" t="s">
        <v>119</v>
      </c>
      <c r="AV33" s="114">
        <f>AW33+AX33</f>
      </c>
      <c r="AW33" s="114">
        <f>F33*AO33</f>
      </c>
      <c r="AX33" s="114">
        <f>F33*AP33</f>
      </c>
      <c r="AY33" s="156" t="s">
        <v>159</v>
      </c>
      <c r="AZ33" s="156" t="s">
        <v>125</v>
      </c>
      <c r="BA33" s="133" t="s">
        <v>126</v>
      </c>
      <c r="BC33" s="114">
        <f>AW33+AX33</f>
      </c>
      <c r="BD33" s="114">
        <f>G33/(100-BE33)*100</f>
      </c>
      <c r="BE33" s="114" t="n">
        <v>0</v>
      </c>
      <c r="BF33" s="114">
        <f>33</f>
      </c>
      <c r="BH33" s="114">
        <f>F33*AO33</f>
      </c>
      <c r="BI33" s="114">
        <f>F33*AP33</f>
      </c>
      <c r="BJ33" s="114">
        <f>F33*G33</f>
      </c>
      <c r="BK33" s="114"/>
      <c r="BL33" s="114" t="n">
        <v>18</v>
      </c>
      <c r="BW33" s="114" t="n">
        <v>21</v>
      </c>
      <c r="BX33" s="14" t="s">
        <v>177</v>
      </c>
    </row>
    <row r="34">
      <c r="A34" s="157"/>
      <c r="B34" s="158" t="s">
        <v>145</v>
      </c>
      <c r="C34" s="159" t="s">
        <v>172</v>
      </c>
      <c r="D34" s="160"/>
      <c r="E34" s="160"/>
      <c r="F34" s="160"/>
      <c r="G34" s="161"/>
      <c r="H34" s="160"/>
      <c r="I34" s="160"/>
      <c r="J34" s="160"/>
      <c r="K34" s="162"/>
      <c r="BX34" s="159" t="s">
        <v>172</v>
      </c>
    </row>
    <row r="35">
      <c r="A35" s="9" t="s">
        <v>138</v>
      </c>
      <c r="B35" s="10" t="s">
        <v>178</v>
      </c>
      <c r="C35" s="14" t="s">
        <v>179</v>
      </c>
      <c r="D35" s="10"/>
      <c r="E35" s="10" t="s">
        <v>163</v>
      </c>
      <c r="F35" s="114" t="n">
        <v>2</v>
      </c>
      <c r="G35" s="154" t="n">
        <v>0</v>
      </c>
      <c r="H35" s="114">
        <f>F35*AO35</f>
      </c>
      <c r="I35" s="114">
        <f>F35*AP35</f>
      </c>
      <c r="J35" s="114">
        <f>F35*G35</f>
      </c>
      <c r="K35" s="155" t="s">
        <v>167</v>
      </c>
      <c r="Z35" s="114">
        <f>IF(AQ35="5",BJ35,0)</f>
      </c>
      <c r="AB35" s="114">
        <f>IF(AQ35="1",BH35,0)</f>
      </c>
      <c r="AC35" s="114">
        <f>IF(AQ35="1",BI35,0)</f>
      </c>
      <c r="AD35" s="114">
        <f>IF(AQ35="7",BH35,0)</f>
      </c>
      <c r="AE35" s="114">
        <f>IF(AQ35="7",BI35,0)</f>
      </c>
      <c r="AF35" s="114">
        <f>IF(AQ35="2",BH35,0)</f>
      </c>
      <c r="AG35" s="114">
        <f>IF(AQ35="2",BI35,0)</f>
      </c>
      <c r="AH35" s="114">
        <f>IF(AQ35="0",BJ35,0)</f>
      </c>
      <c r="AI35" s="133" t="s">
        <v>81</v>
      </c>
      <c r="AJ35" s="114">
        <f>IF(AN35=0,J35,0)</f>
      </c>
      <c r="AK35" s="114">
        <f>IF(AN35=12,J35,0)</f>
      </c>
      <c r="AL35" s="114">
        <f>IF(AN35=21,J35,0)</f>
      </c>
      <c r="AN35" s="114" t="n">
        <v>21</v>
      </c>
      <c r="AO35" s="114">
        <f>G35*1</f>
      </c>
      <c r="AP35" s="114">
        <f>G35*(1-1)</f>
      </c>
      <c r="AQ35" s="156" t="s">
        <v>119</v>
      </c>
      <c r="AV35" s="114">
        <f>AW35+AX35</f>
      </c>
      <c r="AW35" s="114">
        <f>F35*AO35</f>
      </c>
      <c r="AX35" s="114">
        <f>F35*AP35</f>
      </c>
      <c r="AY35" s="156" t="s">
        <v>159</v>
      </c>
      <c r="AZ35" s="156" t="s">
        <v>125</v>
      </c>
      <c r="BA35" s="133" t="s">
        <v>126</v>
      </c>
      <c r="BC35" s="114">
        <f>AW35+AX35</f>
      </c>
      <c r="BD35" s="114">
        <f>G35/(100-BE35)*100</f>
      </c>
      <c r="BE35" s="114" t="n">
        <v>0</v>
      </c>
      <c r="BF35" s="114">
        <f>35</f>
      </c>
      <c r="BH35" s="114">
        <f>F35*AO35</f>
      </c>
      <c r="BI35" s="114">
        <f>F35*AP35</f>
      </c>
      <c r="BJ35" s="114">
        <f>F35*G35</f>
      </c>
      <c r="BK35" s="114"/>
      <c r="BL35" s="114" t="n">
        <v>18</v>
      </c>
      <c r="BW35" s="114" t="n">
        <v>21</v>
      </c>
      <c r="BX35" s="14" t="s">
        <v>179</v>
      </c>
    </row>
    <row r="36">
      <c r="A36" s="157"/>
      <c r="B36" s="158" t="s">
        <v>145</v>
      </c>
      <c r="C36" s="159" t="s">
        <v>172</v>
      </c>
      <c r="D36" s="160"/>
      <c r="E36" s="160"/>
      <c r="F36" s="160"/>
      <c r="G36" s="161"/>
      <c r="H36" s="160"/>
      <c r="I36" s="160"/>
      <c r="J36" s="160"/>
      <c r="K36" s="162"/>
      <c r="BX36" s="159" t="s">
        <v>172</v>
      </c>
    </row>
    <row r="37">
      <c r="A37" s="9" t="s">
        <v>180</v>
      </c>
      <c r="B37" s="10" t="s">
        <v>181</v>
      </c>
      <c r="C37" s="14" t="s">
        <v>182</v>
      </c>
      <c r="D37" s="10"/>
      <c r="E37" s="10" t="s">
        <v>163</v>
      </c>
      <c r="F37" s="114" t="n">
        <v>6</v>
      </c>
      <c r="G37" s="154" t="n">
        <v>0</v>
      </c>
      <c r="H37" s="114">
        <f>F37*AO37</f>
      </c>
      <c r="I37" s="114">
        <f>F37*AP37</f>
      </c>
      <c r="J37" s="114">
        <f>F37*G37</f>
      </c>
      <c r="K37" s="155" t="s">
        <v>167</v>
      </c>
      <c r="Z37" s="114">
        <f>IF(AQ37="5",BJ37,0)</f>
      </c>
      <c r="AB37" s="114">
        <f>IF(AQ37="1",BH37,0)</f>
      </c>
      <c r="AC37" s="114">
        <f>IF(AQ37="1",BI37,0)</f>
      </c>
      <c r="AD37" s="114">
        <f>IF(AQ37="7",BH37,0)</f>
      </c>
      <c r="AE37" s="114">
        <f>IF(AQ37="7",BI37,0)</f>
      </c>
      <c r="AF37" s="114">
        <f>IF(AQ37="2",BH37,0)</f>
      </c>
      <c r="AG37" s="114">
        <f>IF(AQ37="2",BI37,0)</f>
      </c>
      <c r="AH37" s="114">
        <f>IF(AQ37="0",BJ37,0)</f>
      </c>
      <c r="AI37" s="133" t="s">
        <v>81</v>
      </c>
      <c r="AJ37" s="114">
        <f>IF(AN37=0,J37,0)</f>
      </c>
      <c r="AK37" s="114">
        <f>IF(AN37=12,J37,0)</f>
      </c>
      <c r="AL37" s="114">
        <f>IF(AN37=21,J37,0)</f>
      </c>
      <c r="AN37" s="114" t="n">
        <v>21</v>
      </c>
      <c r="AO37" s="114">
        <f>G37*1</f>
      </c>
      <c r="AP37" s="114">
        <f>G37*(1-1)</f>
      </c>
      <c r="AQ37" s="156" t="s">
        <v>119</v>
      </c>
      <c r="AV37" s="114">
        <f>AW37+AX37</f>
      </c>
      <c r="AW37" s="114">
        <f>F37*AO37</f>
      </c>
      <c r="AX37" s="114">
        <f>F37*AP37</f>
      </c>
      <c r="AY37" s="156" t="s">
        <v>159</v>
      </c>
      <c r="AZ37" s="156" t="s">
        <v>125</v>
      </c>
      <c r="BA37" s="133" t="s">
        <v>126</v>
      </c>
      <c r="BC37" s="114">
        <f>AW37+AX37</f>
      </c>
      <c r="BD37" s="114">
        <f>G37/(100-BE37)*100</f>
      </c>
      <c r="BE37" s="114" t="n">
        <v>0</v>
      </c>
      <c r="BF37" s="114">
        <f>37</f>
      </c>
      <c r="BH37" s="114">
        <f>F37*AO37</f>
      </c>
      <c r="BI37" s="114">
        <f>F37*AP37</f>
      </c>
      <c r="BJ37" s="114">
        <f>F37*G37</f>
      </c>
      <c r="BK37" s="114"/>
      <c r="BL37" s="114" t="n">
        <v>18</v>
      </c>
      <c r="BW37" s="114" t="n">
        <v>21</v>
      </c>
      <c r="BX37" s="14" t="s">
        <v>182</v>
      </c>
    </row>
    <row r="38">
      <c r="A38" s="157"/>
      <c r="B38" s="158" t="s">
        <v>145</v>
      </c>
      <c r="C38" s="159" t="s">
        <v>172</v>
      </c>
      <c r="D38" s="160"/>
      <c r="E38" s="160"/>
      <c r="F38" s="160"/>
      <c r="G38" s="161"/>
      <c r="H38" s="160"/>
      <c r="I38" s="160"/>
      <c r="J38" s="160"/>
      <c r="K38" s="162"/>
      <c r="BX38" s="159" t="s">
        <v>172</v>
      </c>
    </row>
    <row r="39">
      <c r="A39" s="9" t="s">
        <v>183</v>
      </c>
      <c r="B39" s="10" t="s">
        <v>184</v>
      </c>
      <c r="C39" s="14" t="s">
        <v>185</v>
      </c>
      <c r="D39" s="10"/>
      <c r="E39" s="10" t="s">
        <v>163</v>
      </c>
      <c r="F39" s="114" t="n">
        <v>2</v>
      </c>
      <c r="G39" s="154" t="n">
        <v>0</v>
      </c>
      <c r="H39" s="114">
        <f>F39*AO39</f>
      </c>
      <c r="I39" s="114">
        <f>F39*AP39</f>
      </c>
      <c r="J39" s="114">
        <f>F39*G39</f>
      </c>
      <c r="K39" s="155" t="s">
        <v>167</v>
      </c>
      <c r="Z39" s="114">
        <f>IF(AQ39="5",BJ39,0)</f>
      </c>
      <c r="AB39" s="114">
        <f>IF(AQ39="1",BH39,0)</f>
      </c>
      <c r="AC39" s="114">
        <f>IF(AQ39="1",BI39,0)</f>
      </c>
      <c r="AD39" s="114">
        <f>IF(AQ39="7",BH39,0)</f>
      </c>
      <c r="AE39" s="114">
        <f>IF(AQ39="7",BI39,0)</f>
      </c>
      <c r="AF39" s="114">
        <f>IF(AQ39="2",BH39,0)</f>
      </c>
      <c r="AG39" s="114">
        <f>IF(AQ39="2",BI39,0)</f>
      </c>
      <c r="AH39" s="114">
        <f>IF(AQ39="0",BJ39,0)</f>
      </c>
      <c r="AI39" s="133" t="s">
        <v>81</v>
      </c>
      <c r="AJ39" s="114">
        <f>IF(AN39=0,J39,0)</f>
      </c>
      <c r="AK39" s="114">
        <f>IF(AN39=12,J39,0)</f>
      </c>
      <c r="AL39" s="114">
        <f>IF(AN39=21,J39,0)</f>
      </c>
      <c r="AN39" s="114" t="n">
        <v>21</v>
      </c>
      <c r="AO39" s="114">
        <f>G39*1</f>
      </c>
      <c r="AP39" s="114">
        <f>G39*(1-1)</f>
      </c>
      <c r="AQ39" s="156" t="s">
        <v>119</v>
      </c>
      <c r="AV39" s="114">
        <f>AW39+AX39</f>
      </c>
      <c r="AW39" s="114">
        <f>F39*AO39</f>
      </c>
      <c r="AX39" s="114">
        <f>F39*AP39</f>
      </c>
      <c r="AY39" s="156" t="s">
        <v>159</v>
      </c>
      <c r="AZ39" s="156" t="s">
        <v>125</v>
      </c>
      <c r="BA39" s="133" t="s">
        <v>126</v>
      </c>
      <c r="BC39" s="114">
        <f>AW39+AX39</f>
      </c>
      <c r="BD39" s="114">
        <f>G39/(100-BE39)*100</f>
      </c>
      <c r="BE39" s="114" t="n">
        <v>0</v>
      </c>
      <c r="BF39" s="114">
        <f>39</f>
      </c>
      <c r="BH39" s="114">
        <f>F39*AO39</f>
      </c>
      <c r="BI39" s="114">
        <f>F39*AP39</f>
      </c>
      <c r="BJ39" s="114">
        <f>F39*G39</f>
      </c>
      <c r="BK39" s="114"/>
      <c r="BL39" s="114" t="n">
        <v>18</v>
      </c>
      <c r="BW39" s="114" t="n">
        <v>21</v>
      </c>
      <c r="BX39" s="14" t="s">
        <v>185</v>
      </c>
    </row>
    <row r="40">
      <c r="A40" s="157"/>
      <c r="B40" s="158" t="s">
        <v>145</v>
      </c>
      <c r="C40" s="159" t="s">
        <v>172</v>
      </c>
      <c r="D40" s="160"/>
      <c r="E40" s="160"/>
      <c r="F40" s="160"/>
      <c r="G40" s="161"/>
      <c r="H40" s="160"/>
      <c r="I40" s="160"/>
      <c r="J40" s="160"/>
      <c r="K40" s="162"/>
      <c r="BX40" s="159" t="s">
        <v>172</v>
      </c>
    </row>
    <row r="41">
      <c r="A41" s="9" t="s">
        <v>186</v>
      </c>
      <c r="B41" s="10" t="s">
        <v>187</v>
      </c>
      <c r="C41" s="14" t="s">
        <v>188</v>
      </c>
      <c r="D41" s="10"/>
      <c r="E41" s="10" t="s">
        <v>158</v>
      </c>
      <c r="F41" s="114" t="n">
        <v>2418</v>
      </c>
      <c r="G41" s="154" t="n">
        <v>0</v>
      </c>
      <c r="H41" s="114">
        <f>F41*AO41</f>
      </c>
      <c r="I41" s="114">
        <f>F41*AP41</f>
      </c>
      <c r="J41" s="114">
        <f>F41*G41</f>
      </c>
      <c r="K41" s="155" t="s">
        <v>123</v>
      </c>
      <c r="Z41" s="114">
        <f>IF(AQ41="5",BJ41,0)</f>
      </c>
      <c r="AB41" s="114">
        <f>IF(AQ41="1",BH41,0)</f>
      </c>
      <c r="AC41" s="114">
        <f>IF(AQ41="1",BI41,0)</f>
      </c>
      <c r="AD41" s="114">
        <f>IF(AQ41="7",BH41,0)</f>
      </c>
      <c r="AE41" s="114">
        <f>IF(AQ41="7",BI41,0)</f>
      </c>
      <c r="AF41" s="114">
        <f>IF(AQ41="2",BH41,0)</f>
      </c>
      <c r="AG41" s="114">
        <f>IF(AQ41="2",BI41,0)</f>
      </c>
      <c r="AH41" s="114">
        <f>IF(AQ41="0",BJ41,0)</f>
      </c>
      <c r="AI41" s="133" t="s">
        <v>81</v>
      </c>
      <c r="AJ41" s="114">
        <f>IF(AN41=0,J41,0)</f>
      </c>
      <c r="AK41" s="114">
        <f>IF(AN41=12,J41,0)</f>
      </c>
      <c r="AL41" s="114">
        <f>IF(AN41=21,J41,0)</f>
      </c>
      <c r="AN41" s="114" t="n">
        <v>21</v>
      </c>
      <c r="AO41" s="114">
        <f>G41*0</f>
      </c>
      <c r="AP41" s="114">
        <f>G41*(1-0)</f>
      </c>
      <c r="AQ41" s="156" t="s">
        <v>119</v>
      </c>
      <c r="AV41" s="114">
        <f>AW41+AX41</f>
      </c>
      <c r="AW41" s="114">
        <f>F41*AO41</f>
      </c>
      <c r="AX41" s="114">
        <f>F41*AP41</f>
      </c>
      <c r="AY41" s="156" t="s">
        <v>159</v>
      </c>
      <c r="AZ41" s="156" t="s">
        <v>125</v>
      </c>
      <c r="BA41" s="133" t="s">
        <v>126</v>
      </c>
      <c r="BC41" s="114">
        <f>AW41+AX41</f>
      </c>
      <c r="BD41" s="114">
        <f>G41/(100-BE41)*100</f>
      </c>
      <c r="BE41" s="114" t="n">
        <v>0</v>
      </c>
      <c r="BF41" s="114">
        <f>41</f>
      </c>
      <c r="BH41" s="114">
        <f>F41*AO41</f>
      </c>
      <c r="BI41" s="114">
        <f>F41*AP41</f>
      </c>
      <c r="BJ41" s="114">
        <f>F41*G41</f>
      </c>
      <c r="BK41" s="114"/>
      <c r="BL41" s="114" t="n">
        <v>18</v>
      </c>
      <c r="BW41" s="114" t="n">
        <v>21</v>
      </c>
      <c r="BX41" s="14" t="s">
        <v>188</v>
      </c>
    </row>
    <row r="42">
      <c r="A42" s="9" t="s">
        <v>147</v>
      </c>
      <c r="B42" s="10" t="s">
        <v>189</v>
      </c>
      <c r="C42" s="14" t="s">
        <v>190</v>
      </c>
      <c r="D42" s="10"/>
      <c r="E42" s="10" t="s">
        <v>158</v>
      </c>
      <c r="F42" s="114" t="n">
        <v>4594.2</v>
      </c>
      <c r="G42" s="154" t="n">
        <v>0</v>
      </c>
      <c r="H42" s="114">
        <f>F42*AO42</f>
      </c>
      <c r="I42" s="114">
        <f>F42*AP42</f>
      </c>
      <c r="J42" s="114">
        <f>F42*G42</f>
      </c>
      <c r="K42" s="155" t="s">
        <v>123</v>
      </c>
      <c r="Z42" s="114">
        <f>IF(AQ42="5",BJ42,0)</f>
      </c>
      <c r="AB42" s="114">
        <f>IF(AQ42="1",BH42,0)</f>
      </c>
      <c r="AC42" s="114">
        <f>IF(AQ42="1",BI42,0)</f>
      </c>
      <c r="AD42" s="114">
        <f>IF(AQ42="7",BH42,0)</f>
      </c>
      <c r="AE42" s="114">
        <f>IF(AQ42="7",BI42,0)</f>
      </c>
      <c r="AF42" s="114">
        <f>IF(AQ42="2",BH42,0)</f>
      </c>
      <c r="AG42" s="114">
        <f>IF(AQ42="2",BI42,0)</f>
      </c>
      <c r="AH42" s="114">
        <f>IF(AQ42="0",BJ42,0)</f>
      </c>
      <c r="AI42" s="133" t="s">
        <v>81</v>
      </c>
      <c r="AJ42" s="114">
        <f>IF(AN42=0,J42,0)</f>
      </c>
      <c r="AK42" s="114">
        <f>IF(AN42=12,J42,0)</f>
      </c>
      <c r="AL42" s="114">
        <f>IF(AN42=21,J42,0)</f>
      </c>
      <c r="AN42" s="114" t="n">
        <v>21</v>
      </c>
      <c r="AO42" s="114">
        <f>G42*0.280093271</f>
      </c>
      <c r="AP42" s="114">
        <f>G42*(1-0.280093271)</f>
      </c>
      <c r="AQ42" s="156" t="s">
        <v>119</v>
      </c>
      <c r="AV42" s="114">
        <f>AW42+AX42</f>
      </c>
      <c r="AW42" s="114">
        <f>F42*AO42</f>
      </c>
      <c r="AX42" s="114">
        <f>F42*AP42</f>
      </c>
      <c r="AY42" s="156" t="s">
        <v>159</v>
      </c>
      <c r="AZ42" s="156" t="s">
        <v>125</v>
      </c>
      <c r="BA42" s="133" t="s">
        <v>126</v>
      </c>
      <c r="BC42" s="114">
        <f>AW42+AX42</f>
      </c>
      <c r="BD42" s="114">
        <f>G42/(100-BE42)*100</f>
      </c>
      <c r="BE42" s="114" t="n">
        <v>0</v>
      </c>
      <c r="BF42" s="114">
        <f>42</f>
      </c>
      <c r="BH42" s="114">
        <f>F42*AO42</f>
      </c>
      <c r="BI42" s="114">
        <f>F42*AP42</f>
      </c>
      <c r="BJ42" s="114">
        <f>F42*G42</f>
      </c>
      <c r="BK42" s="114"/>
      <c r="BL42" s="114" t="n">
        <v>18</v>
      </c>
      <c r="BW42" s="114" t="n">
        <v>21</v>
      </c>
      <c r="BX42" s="14" t="s">
        <v>190</v>
      </c>
    </row>
    <row r="43">
      <c r="A43" s="9" t="s">
        <v>153</v>
      </c>
      <c r="B43" s="10" t="s">
        <v>191</v>
      </c>
      <c r="C43" s="14" t="s">
        <v>192</v>
      </c>
      <c r="D43" s="10"/>
      <c r="E43" s="10" t="s">
        <v>158</v>
      </c>
      <c r="F43" s="114" t="n">
        <v>4594.2</v>
      </c>
      <c r="G43" s="154" t="n">
        <v>0</v>
      </c>
      <c r="H43" s="114">
        <f>F43*AO43</f>
      </c>
      <c r="I43" s="114">
        <f>F43*AP43</f>
      </c>
      <c r="J43" s="114">
        <f>F43*G43</f>
      </c>
      <c r="K43" s="155" t="s">
        <v>123</v>
      </c>
      <c r="Z43" s="114">
        <f>IF(AQ43="5",BJ43,0)</f>
      </c>
      <c r="AB43" s="114">
        <f>IF(AQ43="1",BH43,0)</f>
      </c>
      <c r="AC43" s="114">
        <f>IF(AQ43="1",BI43,0)</f>
      </c>
      <c r="AD43" s="114">
        <f>IF(AQ43="7",BH43,0)</f>
      </c>
      <c r="AE43" s="114">
        <f>IF(AQ43="7",BI43,0)</f>
      </c>
      <c r="AF43" s="114">
        <f>IF(AQ43="2",BH43,0)</f>
      </c>
      <c r="AG43" s="114">
        <f>IF(AQ43="2",BI43,0)</f>
      </c>
      <c r="AH43" s="114">
        <f>IF(AQ43="0",BJ43,0)</f>
      </c>
      <c r="AI43" s="133" t="s">
        <v>81</v>
      </c>
      <c r="AJ43" s="114">
        <f>IF(AN43=0,J43,0)</f>
      </c>
      <c r="AK43" s="114">
        <f>IF(AN43=12,J43,0)</f>
      </c>
      <c r="AL43" s="114">
        <f>IF(AN43=21,J43,0)</f>
      </c>
      <c r="AN43" s="114" t="n">
        <v>21</v>
      </c>
      <c r="AO43" s="114">
        <f>G43*0</f>
      </c>
      <c r="AP43" s="114">
        <f>G43*(1-0)</f>
      </c>
      <c r="AQ43" s="156" t="s">
        <v>119</v>
      </c>
      <c r="AV43" s="114">
        <f>AW43+AX43</f>
      </c>
      <c r="AW43" s="114">
        <f>F43*AO43</f>
      </c>
      <c r="AX43" s="114">
        <f>F43*AP43</f>
      </c>
      <c r="AY43" s="156" t="s">
        <v>159</v>
      </c>
      <c r="AZ43" s="156" t="s">
        <v>125</v>
      </c>
      <c r="BA43" s="133" t="s">
        <v>126</v>
      </c>
      <c r="BC43" s="114">
        <f>AW43+AX43</f>
      </c>
      <c r="BD43" s="114">
        <f>G43/(100-BE43)*100</f>
      </c>
      <c r="BE43" s="114" t="n">
        <v>0</v>
      </c>
      <c r="BF43" s="114">
        <f>43</f>
      </c>
      <c r="BH43" s="114">
        <f>F43*AO43</f>
      </c>
      <c r="BI43" s="114">
        <f>F43*AP43</f>
      </c>
      <c r="BJ43" s="114">
        <f>F43*G43</f>
      </c>
      <c r="BK43" s="114"/>
      <c r="BL43" s="114" t="n">
        <v>18</v>
      </c>
      <c r="BW43" s="114" t="n">
        <v>21</v>
      </c>
      <c r="BX43" s="14" t="s">
        <v>192</v>
      </c>
    </row>
    <row r="44">
      <c r="A44" s="9" t="s">
        <v>193</v>
      </c>
      <c r="B44" s="10" t="s">
        <v>194</v>
      </c>
      <c r="C44" s="14" t="s">
        <v>195</v>
      </c>
      <c r="D44" s="10"/>
      <c r="E44" s="10" t="s">
        <v>122</v>
      </c>
      <c r="F44" s="114" t="n">
        <v>137.826</v>
      </c>
      <c r="G44" s="154" t="n">
        <v>0</v>
      </c>
      <c r="H44" s="114">
        <f>F44*AO44</f>
      </c>
      <c r="I44" s="114">
        <f>F44*AP44</f>
      </c>
      <c r="J44" s="114">
        <f>F44*G44</f>
      </c>
      <c r="K44" s="155" t="s">
        <v>123</v>
      </c>
      <c r="Z44" s="114">
        <f>IF(AQ44="5",BJ44,0)</f>
      </c>
      <c r="AB44" s="114">
        <f>IF(AQ44="1",BH44,0)</f>
      </c>
      <c r="AC44" s="114">
        <f>IF(AQ44="1",BI44,0)</f>
      </c>
      <c r="AD44" s="114">
        <f>IF(AQ44="7",BH44,0)</f>
      </c>
      <c r="AE44" s="114">
        <f>IF(AQ44="7",BI44,0)</f>
      </c>
      <c r="AF44" s="114">
        <f>IF(AQ44="2",BH44,0)</f>
      </c>
      <c r="AG44" s="114">
        <f>IF(AQ44="2",BI44,0)</f>
      </c>
      <c r="AH44" s="114">
        <f>IF(AQ44="0",BJ44,0)</f>
      </c>
      <c r="AI44" s="133" t="s">
        <v>81</v>
      </c>
      <c r="AJ44" s="114">
        <f>IF(AN44=0,J44,0)</f>
      </c>
      <c r="AK44" s="114">
        <f>IF(AN44=12,J44,0)</f>
      </c>
      <c r="AL44" s="114">
        <f>IF(AN44=21,J44,0)</f>
      </c>
      <c r="AN44" s="114" t="n">
        <v>21</v>
      </c>
      <c r="AO44" s="114">
        <f>G44*0.311486867</f>
      </c>
      <c r="AP44" s="114">
        <f>G44*(1-0.311486867)</f>
      </c>
      <c r="AQ44" s="156" t="s">
        <v>119</v>
      </c>
      <c r="AV44" s="114">
        <f>AW44+AX44</f>
      </c>
      <c r="AW44" s="114">
        <f>F44*AO44</f>
      </c>
      <c r="AX44" s="114">
        <f>F44*AP44</f>
      </c>
      <c r="AY44" s="156" t="s">
        <v>159</v>
      </c>
      <c r="AZ44" s="156" t="s">
        <v>125</v>
      </c>
      <c r="BA44" s="133" t="s">
        <v>126</v>
      </c>
      <c r="BC44" s="114">
        <f>AW44+AX44</f>
      </c>
      <c r="BD44" s="114">
        <f>G44/(100-BE44)*100</f>
      </c>
      <c r="BE44" s="114" t="n">
        <v>0</v>
      </c>
      <c r="BF44" s="114">
        <f>44</f>
      </c>
      <c r="BH44" s="114">
        <f>F44*AO44</f>
      </c>
      <c r="BI44" s="114">
        <f>F44*AP44</f>
      </c>
      <c r="BJ44" s="114">
        <f>F44*G44</f>
      </c>
      <c r="BK44" s="114"/>
      <c r="BL44" s="114" t="n">
        <v>18</v>
      </c>
      <c r="BW44" s="114" t="n">
        <v>21</v>
      </c>
      <c r="BX44" s="14" t="s">
        <v>195</v>
      </c>
    </row>
    <row r="45">
      <c r="A45" s="9" t="s">
        <v>196</v>
      </c>
      <c r="B45" s="10" t="s">
        <v>197</v>
      </c>
      <c r="C45" s="14" t="s">
        <v>198</v>
      </c>
      <c r="D45" s="10"/>
      <c r="E45" s="10" t="s">
        <v>163</v>
      </c>
      <c r="F45" s="114" t="n">
        <v>20</v>
      </c>
      <c r="G45" s="154" t="n">
        <v>0</v>
      </c>
      <c r="H45" s="114">
        <f>F45*AO45</f>
      </c>
      <c r="I45" s="114">
        <f>F45*AP45</f>
      </c>
      <c r="J45" s="114">
        <f>F45*G45</f>
      </c>
      <c r="K45" s="155" t="s">
        <v>123</v>
      </c>
      <c r="Z45" s="114">
        <f>IF(AQ45="5",BJ45,0)</f>
      </c>
      <c r="AB45" s="114">
        <f>IF(AQ45="1",BH45,0)</f>
      </c>
      <c r="AC45" s="114">
        <f>IF(AQ45="1",BI45,0)</f>
      </c>
      <c r="AD45" s="114">
        <f>IF(AQ45="7",BH45,0)</f>
      </c>
      <c r="AE45" s="114">
        <f>IF(AQ45="7",BI45,0)</f>
      </c>
      <c r="AF45" s="114">
        <f>IF(AQ45="2",BH45,0)</f>
      </c>
      <c r="AG45" s="114">
        <f>IF(AQ45="2",BI45,0)</f>
      </c>
      <c r="AH45" s="114">
        <f>IF(AQ45="0",BJ45,0)</f>
      </c>
      <c r="AI45" s="133" t="s">
        <v>81</v>
      </c>
      <c r="AJ45" s="114">
        <f>IF(AN45=0,J45,0)</f>
      </c>
      <c r="AK45" s="114">
        <f>IF(AN45=12,J45,0)</f>
      </c>
      <c r="AL45" s="114">
        <f>IF(AN45=21,J45,0)</f>
      </c>
      <c r="AN45" s="114" t="n">
        <v>21</v>
      </c>
      <c r="AO45" s="114">
        <f>G45*0.009142857</f>
      </c>
      <c r="AP45" s="114">
        <f>G45*(1-0.009142857)</f>
      </c>
      <c r="AQ45" s="156" t="s">
        <v>119</v>
      </c>
      <c r="AV45" s="114">
        <f>AW45+AX45</f>
      </c>
      <c r="AW45" s="114">
        <f>F45*AO45</f>
      </c>
      <c r="AX45" s="114">
        <f>F45*AP45</f>
      </c>
      <c r="AY45" s="156" t="s">
        <v>159</v>
      </c>
      <c r="AZ45" s="156" t="s">
        <v>125</v>
      </c>
      <c r="BA45" s="133" t="s">
        <v>126</v>
      </c>
      <c r="BC45" s="114">
        <f>AW45+AX45</f>
      </c>
      <c r="BD45" s="114">
        <f>G45/(100-BE45)*100</f>
      </c>
      <c r="BE45" s="114" t="n">
        <v>0</v>
      </c>
      <c r="BF45" s="114">
        <f>45</f>
      </c>
      <c r="BH45" s="114">
        <f>F45*AO45</f>
      </c>
      <c r="BI45" s="114">
        <f>F45*AP45</f>
      </c>
      <c r="BJ45" s="114">
        <f>F45*G45</f>
      </c>
      <c r="BK45" s="114"/>
      <c r="BL45" s="114" t="n">
        <v>18</v>
      </c>
      <c r="BW45" s="114" t="n">
        <v>21</v>
      </c>
      <c r="BX45" s="14" t="s">
        <v>198</v>
      </c>
    </row>
    <row r="46">
      <c r="A46" s="9" t="s">
        <v>199</v>
      </c>
      <c r="B46" s="10" t="s">
        <v>200</v>
      </c>
      <c r="C46" s="14" t="s">
        <v>201</v>
      </c>
      <c r="D46" s="10"/>
      <c r="E46" s="10" t="s">
        <v>163</v>
      </c>
      <c r="F46" s="114" t="n">
        <v>1</v>
      </c>
      <c r="G46" s="154" t="n">
        <v>0</v>
      </c>
      <c r="H46" s="114">
        <f>F46*AO46</f>
      </c>
      <c r="I46" s="114">
        <f>F46*AP46</f>
      </c>
      <c r="J46" s="114">
        <f>F46*G46</f>
      </c>
      <c r="K46" s="155" t="s">
        <v>123</v>
      </c>
      <c r="Z46" s="114">
        <f>IF(AQ46="5",BJ46,0)</f>
      </c>
      <c r="AB46" s="114">
        <f>IF(AQ46="1",BH46,0)</f>
      </c>
      <c r="AC46" s="114">
        <f>IF(AQ46="1",BI46,0)</f>
      </c>
      <c r="AD46" s="114">
        <f>IF(AQ46="7",BH46,0)</f>
      </c>
      <c r="AE46" s="114">
        <f>IF(AQ46="7",BI46,0)</f>
      </c>
      <c r="AF46" s="114">
        <f>IF(AQ46="2",BH46,0)</f>
      </c>
      <c r="AG46" s="114">
        <f>IF(AQ46="2",BI46,0)</f>
      </c>
      <c r="AH46" s="114">
        <f>IF(AQ46="0",BJ46,0)</f>
      </c>
      <c r="AI46" s="133" t="s">
        <v>81</v>
      </c>
      <c r="AJ46" s="114">
        <f>IF(AN46=0,J46,0)</f>
      </c>
      <c r="AK46" s="114">
        <f>IF(AN46=12,J46,0)</f>
      </c>
      <c r="AL46" s="114">
        <f>IF(AN46=21,J46,0)</f>
      </c>
      <c r="AN46" s="114" t="n">
        <v>21</v>
      </c>
      <c r="AO46" s="114">
        <f>G46*0.148172038</f>
      </c>
      <c r="AP46" s="114">
        <f>G46*(1-0.148172038)</f>
      </c>
      <c r="AQ46" s="156" t="s">
        <v>119</v>
      </c>
      <c r="AV46" s="114">
        <f>AW46+AX46</f>
      </c>
      <c r="AW46" s="114">
        <f>F46*AO46</f>
      </c>
      <c r="AX46" s="114">
        <f>F46*AP46</f>
      </c>
      <c r="AY46" s="156" t="s">
        <v>159</v>
      </c>
      <c r="AZ46" s="156" t="s">
        <v>125</v>
      </c>
      <c r="BA46" s="133" t="s">
        <v>126</v>
      </c>
      <c r="BC46" s="114">
        <f>AW46+AX46</f>
      </c>
      <c r="BD46" s="114">
        <f>G46/(100-BE46)*100</f>
      </c>
      <c r="BE46" s="114" t="n">
        <v>0</v>
      </c>
      <c r="BF46" s="114">
        <f>46</f>
      </c>
      <c r="BH46" s="114">
        <f>F46*AO46</f>
      </c>
      <c r="BI46" s="114">
        <f>F46*AP46</f>
      </c>
      <c r="BJ46" s="114">
        <f>F46*G46</f>
      </c>
      <c r="BK46" s="114"/>
      <c r="BL46" s="114" t="n">
        <v>18</v>
      </c>
      <c r="BW46" s="114" t="n">
        <v>21</v>
      </c>
      <c r="BX46" s="14" t="s">
        <v>201</v>
      </c>
    </row>
    <row r="47">
      <c r="A47" s="9" t="s">
        <v>202</v>
      </c>
      <c r="B47" s="10" t="s">
        <v>203</v>
      </c>
      <c r="C47" s="14" t="s">
        <v>204</v>
      </c>
      <c r="D47" s="10"/>
      <c r="E47" s="10" t="s">
        <v>163</v>
      </c>
      <c r="F47" s="114" t="n">
        <v>1</v>
      </c>
      <c r="G47" s="154" t="n">
        <v>0</v>
      </c>
      <c r="H47" s="114">
        <f>F47*AO47</f>
      </c>
      <c r="I47" s="114">
        <f>F47*AP47</f>
      </c>
      <c r="J47" s="114">
        <f>F47*G47</f>
      </c>
      <c r="K47" s="155" t="s">
        <v>167</v>
      </c>
      <c r="Z47" s="114">
        <f>IF(AQ47="5",BJ47,0)</f>
      </c>
      <c r="AB47" s="114">
        <f>IF(AQ47="1",BH47,0)</f>
      </c>
      <c r="AC47" s="114">
        <f>IF(AQ47="1",BI47,0)</f>
      </c>
      <c r="AD47" s="114">
        <f>IF(AQ47="7",BH47,0)</f>
      </c>
      <c r="AE47" s="114">
        <f>IF(AQ47="7",BI47,0)</f>
      </c>
      <c r="AF47" s="114">
        <f>IF(AQ47="2",BH47,0)</f>
      </c>
      <c r="AG47" s="114">
        <f>IF(AQ47="2",BI47,0)</f>
      </c>
      <c r="AH47" s="114">
        <f>IF(AQ47="0",BJ47,0)</f>
      </c>
      <c r="AI47" s="133" t="s">
        <v>81</v>
      </c>
      <c r="AJ47" s="114">
        <f>IF(AN47=0,J47,0)</f>
      </c>
      <c r="AK47" s="114">
        <f>IF(AN47=12,J47,0)</f>
      </c>
      <c r="AL47" s="114">
        <f>IF(AN47=21,J47,0)</f>
      </c>
      <c r="AN47" s="114" t="n">
        <v>21</v>
      </c>
      <c r="AO47" s="114">
        <f>G47*1</f>
      </c>
      <c r="AP47" s="114">
        <f>G47*(1-1)</f>
      </c>
      <c r="AQ47" s="156" t="s">
        <v>119</v>
      </c>
      <c r="AV47" s="114">
        <f>AW47+AX47</f>
      </c>
      <c r="AW47" s="114">
        <f>F47*AO47</f>
      </c>
      <c r="AX47" s="114">
        <f>F47*AP47</f>
      </c>
      <c r="AY47" s="156" t="s">
        <v>159</v>
      </c>
      <c r="AZ47" s="156" t="s">
        <v>125</v>
      </c>
      <c r="BA47" s="133" t="s">
        <v>126</v>
      </c>
      <c r="BC47" s="114">
        <f>AW47+AX47</f>
      </c>
      <c r="BD47" s="114">
        <f>G47/(100-BE47)*100</f>
      </c>
      <c r="BE47" s="114" t="n">
        <v>0</v>
      </c>
      <c r="BF47" s="114">
        <f>47</f>
      </c>
      <c r="BH47" s="114">
        <f>F47*AO47</f>
      </c>
      <c r="BI47" s="114">
        <f>F47*AP47</f>
      </c>
      <c r="BJ47" s="114">
        <f>F47*G47</f>
      </c>
      <c r="BK47" s="114"/>
      <c r="BL47" s="114" t="n">
        <v>18</v>
      </c>
      <c r="BW47" s="114" t="n">
        <v>21</v>
      </c>
      <c r="BX47" s="14" t="s">
        <v>204</v>
      </c>
    </row>
    <row r="48">
      <c r="A48" s="148" t="s">
        <v>10</v>
      </c>
      <c r="B48" s="149" t="s">
        <v>205</v>
      </c>
      <c r="C48" s="150" t="s">
        <v>206</v>
      </c>
      <c r="D48" s="149"/>
      <c r="E48" s="151" t="s">
        <v>74</v>
      </c>
      <c r="F48" s="151" t="s">
        <v>74</v>
      </c>
      <c r="G48" s="152" t="s">
        <v>74</v>
      </c>
      <c r="H48" s="120">
        <f>SUM(H49:H49)</f>
      </c>
      <c r="I48" s="120">
        <f>SUM(I49:I49)</f>
      </c>
      <c r="J48" s="120">
        <f>SUM(J49:J49)</f>
      </c>
      <c r="K48" s="153" t="s">
        <v>10</v>
      </c>
      <c r="AI48" s="133" t="s">
        <v>81</v>
      </c>
      <c r="AS48" s="120">
        <f>SUM(AJ49:AJ49)</f>
      </c>
      <c r="AT48" s="120">
        <f>SUM(AK49:AK49)</f>
      </c>
      <c r="AU48" s="120">
        <f>SUM(AL49:AL49)</f>
      </c>
    </row>
    <row r="49">
      <c r="A49" s="9" t="s">
        <v>207</v>
      </c>
      <c r="B49" s="10" t="s">
        <v>208</v>
      </c>
      <c r="C49" s="14" t="s">
        <v>209</v>
      </c>
      <c r="D49" s="10"/>
      <c r="E49" s="10" t="s">
        <v>122</v>
      </c>
      <c r="F49" s="114" t="n">
        <v>2.048</v>
      </c>
      <c r="G49" s="154" t="n">
        <v>0</v>
      </c>
      <c r="H49" s="114">
        <f>F49*AO49</f>
      </c>
      <c r="I49" s="114">
        <f>F49*AP49</f>
      </c>
      <c r="J49" s="114">
        <f>F49*G49</f>
      </c>
      <c r="K49" s="155" t="s">
        <v>123</v>
      </c>
      <c r="Z49" s="114">
        <f>IF(AQ49="5",BJ49,0)</f>
      </c>
      <c r="AB49" s="114">
        <f>IF(AQ49="1",BH49,0)</f>
      </c>
      <c r="AC49" s="114">
        <f>IF(AQ49="1",BI49,0)</f>
      </c>
      <c r="AD49" s="114">
        <f>IF(AQ49="7",BH49,0)</f>
      </c>
      <c r="AE49" s="114">
        <f>IF(AQ49="7",BI49,0)</f>
      </c>
      <c r="AF49" s="114">
        <f>IF(AQ49="2",BH49,0)</f>
      </c>
      <c r="AG49" s="114">
        <f>IF(AQ49="2",BI49,0)</f>
      </c>
      <c r="AH49" s="114">
        <f>IF(AQ49="0",BJ49,0)</f>
      </c>
      <c r="AI49" s="133" t="s">
        <v>81</v>
      </c>
      <c r="AJ49" s="114">
        <f>IF(AN49=0,J49,0)</f>
      </c>
      <c r="AK49" s="114">
        <f>IF(AN49=12,J49,0)</f>
      </c>
      <c r="AL49" s="114">
        <f>IF(AN49=21,J49,0)</f>
      </c>
      <c r="AN49" s="114" t="n">
        <v>21</v>
      </c>
      <c r="AO49" s="114">
        <f>G49*0.916232171</f>
      </c>
      <c r="AP49" s="114">
        <f>G49*(1-0.916232171)</f>
      </c>
      <c r="AQ49" s="156" t="s">
        <v>119</v>
      </c>
      <c r="AV49" s="114">
        <f>AW49+AX49</f>
      </c>
      <c r="AW49" s="114">
        <f>F49*AO49</f>
      </c>
      <c r="AX49" s="114">
        <f>F49*AP49</f>
      </c>
      <c r="AY49" s="156" t="s">
        <v>210</v>
      </c>
      <c r="AZ49" s="156" t="s">
        <v>211</v>
      </c>
      <c r="BA49" s="133" t="s">
        <v>126</v>
      </c>
      <c r="BC49" s="114">
        <f>AW49+AX49</f>
      </c>
      <c r="BD49" s="114">
        <f>G49/(100-BE49)*100</f>
      </c>
      <c r="BE49" s="114" t="n">
        <v>0</v>
      </c>
      <c r="BF49" s="114">
        <f>49</f>
      </c>
      <c r="BH49" s="114">
        <f>F49*AO49</f>
      </c>
      <c r="BI49" s="114">
        <f>F49*AP49</f>
      </c>
      <c r="BJ49" s="114">
        <f>F49*G49</f>
      </c>
      <c r="BK49" s="114"/>
      <c r="BL49" s="114" t="n">
        <v>27</v>
      </c>
      <c r="BW49" s="114" t="n">
        <v>21</v>
      </c>
      <c r="BX49" s="14" t="s">
        <v>209</v>
      </c>
    </row>
    <row r="50">
      <c r="A50" s="157"/>
      <c r="B50" s="158" t="s">
        <v>145</v>
      </c>
      <c r="C50" s="159" t="s">
        <v>212</v>
      </c>
      <c r="D50" s="160"/>
      <c r="E50" s="160"/>
      <c r="F50" s="160"/>
      <c r="G50" s="161"/>
      <c r="H50" s="160"/>
      <c r="I50" s="160"/>
      <c r="J50" s="160"/>
      <c r="K50" s="162"/>
      <c r="BX50" s="159" t="s">
        <v>212</v>
      </c>
    </row>
    <row r="51">
      <c r="A51" s="148" t="s">
        <v>10</v>
      </c>
      <c r="B51" s="149" t="s">
        <v>213</v>
      </c>
      <c r="C51" s="150" t="s">
        <v>214</v>
      </c>
      <c r="D51" s="149"/>
      <c r="E51" s="151" t="s">
        <v>74</v>
      </c>
      <c r="F51" s="151" t="s">
        <v>74</v>
      </c>
      <c r="G51" s="152" t="s">
        <v>74</v>
      </c>
      <c r="H51" s="120">
        <f>SUM(H52:H58)</f>
      </c>
      <c r="I51" s="120">
        <f>SUM(I52:I58)</f>
      </c>
      <c r="J51" s="120">
        <f>SUM(J52:J58)</f>
      </c>
      <c r="K51" s="153" t="s">
        <v>10</v>
      </c>
      <c r="AI51" s="133" t="s">
        <v>81</v>
      </c>
      <c r="AS51" s="120">
        <f>SUM(AJ52:AJ58)</f>
      </c>
      <c r="AT51" s="120">
        <f>SUM(AK52:AK58)</f>
      </c>
      <c r="AU51" s="120">
        <f>SUM(AL52:AL58)</f>
      </c>
    </row>
    <row r="52">
      <c r="A52" s="9" t="s">
        <v>215</v>
      </c>
      <c r="B52" s="10" t="s">
        <v>216</v>
      </c>
      <c r="C52" s="14" t="s">
        <v>217</v>
      </c>
      <c r="D52" s="10"/>
      <c r="E52" s="10" t="s">
        <v>158</v>
      </c>
      <c r="F52" s="114" t="n">
        <v>4836</v>
      </c>
      <c r="G52" s="154" t="n">
        <v>0</v>
      </c>
      <c r="H52" s="114">
        <f>F52*AO52</f>
      </c>
      <c r="I52" s="114">
        <f>F52*AP52</f>
      </c>
      <c r="J52" s="114">
        <f>F52*G52</f>
      </c>
      <c r="K52" s="155" t="s">
        <v>123</v>
      </c>
      <c r="Z52" s="114">
        <f>IF(AQ52="5",BJ52,0)</f>
      </c>
      <c r="AB52" s="114">
        <f>IF(AQ52="1",BH52,0)</f>
      </c>
      <c r="AC52" s="114">
        <f>IF(AQ52="1",BI52,0)</f>
      </c>
      <c r="AD52" s="114">
        <f>IF(AQ52="7",BH52,0)</f>
      </c>
      <c r="AE52" s="114">
        <f>IF(AQ52="7",BI52,0)</f>
      </c>
      <c r="AF52" s="114">
        <f>IF(AQ52="2",BH52,0)</f>
      </c>
      <c r="AG52" s="114">
        <f>IF(AQ52="2",BI52,0)</f>
      </c>
      <c r="AH52" s="114">
        <f>IF(AQ52="0",BJ52,0)</f>
      </c>
      <c r="AI52" s="133" t="s">
        <v>81</v>
      </c>
      <c r="AJ52" s="114">
        <f>IF(AN52=0,J52,0)</f>
      </c>
      <c r="AK52" s="114">
        <f>IF(AN52=12,J52,0)</f>
      </c>
      <c r="AL52" s="114">
        <f>IF(AN52=21,J52,0)</f>
      </c>
      <c r="AN52" s="114" t="n">
        <v>21</v>
      </c>
      <c r="AO52" s="114">
        <f>G52*0.839684894</f>
      </c>
      <c r="AP52" s="114">
        <f>G52*(1-0.839684894)</f>
      </c>
      <c r="AQ52" s="156" t="s">
        <v>119</v>
      </c>
      <c r="AV52" s="114">
        <f>AW52+AX52</f>
      </c>
      <c r="AW52" s="114">
        <f>F52*AO52</f>
      </c>
      <c r="AX52" s="114">
        <f>F52*AP52</f>
      </c>
      <c r="AY52" s="156" t="s">
        <v>218</v>
      </c>
      <c r="AZ52" s="156" t="s">
        <v>219</v>
      </c>
      <c r="BA52" s="133" t="s">
        <v>126</v>
      </c>
      <c r="BC52" s="114">
        <f>AW52+AX52</f>
      </c>
      <c r="BD52" s="114">
        <f>G52/(100-BE52)*100</f>
      </c>
      <c r="BE52" s="114" t="n">
        <v>0</v>
      </c>
      <c r="BF52" s="114">
        <f>52</f>
      </c>
      <c r="BH52" s="114">
        <f>F52*AO52</f>
      </c>
      <c r="BI52" s="114">
        <f>F52*AP52</f>
      </c>
      <c r="BJ52" s="114">
        <f>F52*G52</f>
      </c>
      <c r="BK52" s="114"/>
      <c r="BL52" s="114" t="n">
        <v>56</v>
      </c>
      <c r="BW52" s="114" t="n">
        <v>21</v>
      </c>
      <c r="BX52" s="14" t="s">
        <v>217</v>
      </c>
    </row>
    <row r="53" customHeight="true" ht="13.5">
      <c r="A53" s="157"/>
      <c r="B53" s="158" t="s">
        <v>143</v>
      </c>
      <c r="C53" s="159" t="s">
        <v>220</v>
      </c>
      <c r="D53" s="160"/>
      <c r="E53" s="160"/>
      <c r="F53" s="160"/>
      <c r="G53" s="161"/>
      <c r="H53" s="160"/>
      <c r="I53" s="160"/>
      <c r="J53" s="160"/>
      <c r="K53" s="162"/>
    </row>
    <row r="54">
      <c r="A54" s="9" t="s">
        <v>221</v>
      </c>
      <c r="B54" s="10" t="s">
        <v>222</v>
      </c>
      <c r="C54" s="14" t="s">
        <v>223</v>
      </c>
      <c r="D54" s="10"/>
      <c r="E54" s="10" t="s">
        <v>158</v>
      </c>
      <c r="F54" s="114" t="n">
        <v>2201</v>
      </c>
      <c r="G54" s="154" t="n">
        <v>0</v>
      </c>
      <c r="H54" s="114">
        <f>F54*AO54</f>
      </c>
      <c r="I54" s="114">
        <f>F54*AP54</f>
      </c>
      <c r="J54" s="114">
        <f>F54*G54</f>
      </c>
      <c r="K54" s="155" t="s">
        <v>123</v>
      </c>
      <c r="Z54" s="114">
        <f>IF(AQ54="5",BJ54,0)</f>
      </c>
      <c r="AB54" s="114">
        <f>IF(AQ54="1",BH54,0)</f>
      </c>
      <c r="AC54" s="114">
        <f>IF(AQ54="1",BI54,0)</f>
      </c>
      <c r="AD54" s="114">
        <f>IF(AQ54="7",BH54,0)</f>
      </c>
      <c r="AE54" s="114">
        <f>IF(AQ54="7",BI54,0)</f>
      </c>
      <c r="AF54" s="114">
        <f>IF(AQ54="2",BH54,0)</f>
      </c>
      <c r="AG54" s="114">
        <f>IF(AQ54="2",BI54,0)</f>
      </c>
      <c r="AH54" s="114">
        <f>IF(AQ54="0",BJ54,0)</f>
      </c>
      <c r="AI54" s="133" t="s">
        <v>81</v>
      </c>
      <c r="AJ54" s="114">
        <f>IF(AN54=0,J54,0)</f>
      </c>
      <c r="AK54" s="114">
        <f>IF(AN54=12,J54,0)</f>
      </c>
      <c r="AL54" s="114">
        <f>IF(AN54=21,J54,0)</f>
      </c>
      <c r="AN54" s="114" t="n">
        <v>21</v>
      </c>
      <c r="AO54" s="114">
        <f>G54*0.84595186</f>
      </c>
      <c r="AP54" s="114">
        <f>G54*(1-0.84595186)</f>
      </c>
      <c r="AQ54" s="156" t="s">
        <v>119</v>
      </c>
      <c r="AV54" s="114">
        <f>AW54+AX54</f>
      </c>
      <c r="AW54" s="114">
        <f>F54*AO54</f>
      </c>
      <c r="AX54" s="114">
        <f>F54*AP54</f>
      </c>
      <c r="AY54" s="156" t="s">
        <v>218</v>
      </c>
      <c r="AZ54" s="156" t="s">
        <v>219</v>
      </c>
      <c r="BA54" s="133" t="s">
        <v>126</v>
      </c>
      <c r="BC54" s="114">
        <f>AW54+AX54</f>
      </c>
      <c r="BD54" s="114">
        <f>G54/(100-BE54)*100</f>
      </c>
      <c r="BE54" s="114" t="n">
        <v>0</v>
      </c>
      <c r="BF54" s="114">
        <f>54</f>
      </c>
      <c r="BH54" s="114">
        <f>F54*AO54</f>
      </c>
      <c r="BI54" s="114">
        <f>F54*AP54</f>
      </c>
      <c r="BJ54" s="114">
        <f>F54*G54</f>
      </c>
      <c r="BK54" s="114"/>
      <c r="BL54" s="114" t="n">
        <v>56</v>
      </c>
      <c r="BW54" s="114" t="n">
        <v>21</v>
      </c>
      <c r="BX54" s="14" t="s">
        <v>223</v>
      </c>
    </row>
    <row r="55" customHeight="true" ht="13.5">
      <c r="A55" s="157"/>
      <c r="B55" s="158" t="s">
        <v>143</v>
      </c>
      <c r="C55" s="159" t="s">
        <v>220</v>
      </c>
      <c r="D55" s="160"/>
      <c r="E55" s="160"/>
      <c r="F55" s="160"/>
      <c r="G55" s="161"/>
      <c r="H55" s="160"/>
      <c r="I55" s="160"/>
      <c r="J55" s="160"/>
      <c r="K55" s="162"/>
    </row>
    <row r="56">
      <c r="A56" s="9" t="s">
        <v>224</v>
      </c>
      <c r="B56" s="10" t="s">
        <v>225</v>
      </c>
      <c r="C56" s="14" t="s">
        <v>226</v>
      </c>
      <c r="D56" s="10"/>
      <c r="E56" s="10" t="s">
        <v>158</v>
      </c>
      <c r="F56" s="114" t="n">
        <v>2418</v>
      </c>
      <c r="G56" s="154" t="n">
        <v>0</v>
      </c>
      <c r="H56" s="114">
        <f>F56*AO56</f>
      </c>
      <c r="I56" s="114">
        <f>F56*AP56</f>
      </c>
      <c r="J56" s="114">
        <f>F56*G56</f>
      </c>
      <c r="K56" s="155" t="s">
        <v>123</v>
      </c>
      <c r="Z56" s="114">
        <f>IF(AQ56="5",BJ56,0)</f>
      </c>
      <c r="AB56" s="114">
        <f>IF(AQ56="1",BH56,0)</f>
      </c>
      <c r="AC56" s="114">
        <f>IF(AQ56="1",BI56,0)</f>
      </c>
      <c r="AD56" s="114">
        <f>IF(AQ56="7",BH56,0)</f>
      </c>
      <c r="AE56" s="114">
        <f>IF(AQ56="7",BI56,0)</f>
      </c>
      <c r="AF56" s="114">
        <f>IF(AQ56="2",BH56,0)</f>
      </c>
      <c r="AG56" s="114">
        <f>IF(AQ56="2",BI56,0)</f>
      </c>
      <c r="AH56" s="114">
        <f>IF(AQ56="0",BJ56,0)</f>
      </c>
      <c r="AI56" s="133" t="s">
        <v>81</v>
      </c>
      <c r="AJ56" s="114">
        <f>IF(AN56=0,J56,0)</f>
      </c>
      <c r="AK56" s="114">
        <f>IF(AN56=12,J56,0)</f>
      </c>
      <c r="AL56" s="114">
        <f>IF(AN56=21,J56,0)</f>
      </c>
      <c r="AN56" s="114" t="n">
        <v>21</v>
      </c>
      <c r="AO56" s="114">
        <f>G56*0.809382022</f>
      </c>
      <c r="AP56" s="114">
        <f>G56*(1-0.809382022)</f>
      </c>
      <c r="AQ56" s="156" t="s">
        <v>119</v>
      </c>
      <c r="AV56" s="114">
        <f>AW56+AX56</f>
      </c>
      <c r="AW56" s="114">
        <f>F56*AO56</f>
      </c>
      <c r="AX56" s="114">
        <f>F56*AP56</f>
      </c>
      <c r="AY56" s="156" t="s">
        <v>218</v>
      </c>
      <c r="AZ56" s="156" t="s">
        <v>219</v>
      </c>
      <c r="BA56" s="133" t="s">
        <v>126</v>
      </c>
      <c r="BC56" s="114">
        <f>AW56+AX56</f>
      </c>
      <c r="BD56" s="114">
        <f>G56/(100-BE56)*100</f>
      </c>
      <c r="BE56" s="114" t="n">
        <v>0</v>
      </c>
      <c r="BF56" s="114">
        <f>56</f>
      </c>
      <c r="BH56" s="114">
        <f>F56*AO56</f>
      </c>
      <c r="BI56" s="114">
        <f>F56*AP56</f>
      </c>
      <c r="BJ56" s="114">
        <f>F56*G56</f>
      </c>
      <c r="BK56" s="114"/>
      <c r="BL56" s="114" t="n">
        <v>56</v>
      </c>
      <c r="BW56" s="114" t="n">
        <v>21</v>
      </c>
      <c r="BX56" s="14" t="s">
        <v>226</v>
      </c>
    </row>
    <row r="57">
      <c r="A57" s="9" t="s">
        <v>205</v>
      </c>
      <c r="B57" s="10" t="s">
        <v>227</v>
      </c>
      <c r="C57" s="14" t="s">
        <v>228</v>
      </c>
      <c r="D57" s="10"/>
      <c r="E57" s="10" t="s">
        <v>158</v>
      </c>
      <c r="F57" s="114" t="n">
        <v>1717.4</v>
      </c>
      <c r="G57" s="154" t="n">
        <v>0</v>
      </c>
      <c r="H57" s="114">
        <f>F57*AO57</f>
      </c>
      <c r="I57" s="114">
        <f>F57*AP57</f>
      </c>
      <c r="J57" s="114">
        <f>F57*G57</f>
      </c>
      <c r="K57" s="155" t="s">
        <v>123</v>
      </c>
      <c r="Z57" s="114">
        <f>IF(AQ57="5",BJ57,0)</f>
      </c>
      <c r="AB57" s="114">
        <f>IF(AQ57="1",BH57,0)</f>
      </c>
      <c r="AC57" s="114">
        <f>IF(AQ57="1",BI57,0)</f>
      </c>
      <c r="AD57" s="114">
        <f>IF(AQ57="7",BH57,0)</f>
      </c>
      <c r="AE57" s="114">
        <f>IF(AQ57="7",BI57,0)</f>
      </c>
      <c r="AF57" s="114">
        <f>IF(AQ57="2",BH57,0)</f>
      </c>
      <c r="AG57" s="114">
        <f>IF(AQ57="2",BI57,0)</f>
      </c>
      <c r="AH57" s="114">
        <f>IF(AQ57="0",BJ57,0)</f>
      </c>
      <c r="AI57" s="133" t="s">
        <v>81</v>
      </c>
      <c r="AJ57" s="114">
        <f>IF(AN57=0,J57,0)</f>
      </c>
      <c r="AK57" s="114">
        <f>IF(AN57=12,J57,0)</f>
      </c>
      <c r="AL57" s="114">
        <f>IF(AN57=21,J57,0)</f>
      </c>
      <c r="AN57" s="114" t="n">
        <v>21</v>
      </c>
      <c r="AO57" s="114">
        <f>G57*0.859949048</f>
      </c>
      <c r="AP57" s="114">
        <f>G57*(1-0.859949048)</f>
      </c>
      <c r="AQ57" s="156" t="s">
        <v>119</v>
      </c>
      <c r="AV57" s="114">
        <f>AW57+AX57</f>
      </c>
      <c r="AW57" s="114">
        <f>F57*AO57</f>
      </c>
      <c r="AX57" s="114">
        <f>F57*AP57</f>
      </c>
      <c r="AY57" s="156" t="s">
        <v>218</v>
      </c>
      <c r="AZ57" s="156" t="s">
        <v>219</v>
      </c>
      <c r="BA57" s="133" t="s">
        <v>126</v>
      </c>
      <c r="BC57" s="114">
        <f>AW57+AX57</f>
      </c>
      <c r="BD57" s="114">
        <f>G57/(100-BE57)*100</f>
      </c>
      <c r="BE57" s="114" t="n">
        <v>0</v>
      </c>
      <c r="BF57" s="114">
        <f>57</f>
      </c>
      <c r="BH57" s="114">
        <f>F57*AO57</f>
      </c>
      <c r="BI57" s="114">
        <f>F57*AP57</f>
      </c>
      <c r="BJ57" s="114">
        <f>F57*G57</f>
      </c>
      <c r="BK57" s="114"/>
      <c r="BL57" s="114" t="n">
        <v>56</v>
      </c>
      <c r="BW57" s="114" t="n">
        <v>21</v>
      </c>
      <c r="BX57" s="14" t="s">
        <v>228</v>
      </c>
    </row>
    <row r="58">
      <c r="A58" s="9" t="s">
        <v>229</v>
      </c>
      <c r="B58" s="10" t="s">
        <v>230</v>
      </c>
      <c r="C58" s="14" t="s">
        <v>231</v>
      </c>
      <c r="D58" s="10"/>
      <c r="E58" s="10" t="s">
        <v>158</v>
      </c>
      <c r="F58" s="114" t="n">
        <v>8</v>
      </c>
      <c r="G58" s="154" t="n">
        <v>0</v>
      </c>
      <c r="H58" s="114">
        <f>F58*AO58</f>
      </c>
      <c r="I58" s="114">
        <f>F58*AP58</f>
      </c>
      <c r="J58" s="114">
        <f>F58*G58</f>
      </c>
      <c r="K58" s="155" t="s">
        <v>123</v>
      </c>
      <c r="Z58" s="114">
        <f>IF(AQ58="5",BJ58,0)</f>
      </c>
      <c r="AB58" s="114">
        <f>IF(AQ58="1",BH58,0)</f>
      </c>
      <c r="AC58" s="114">
        <f>IF(AQ58="1",BI58,0)</f>
      </c>
      <c r="AD58" s="114">
        <f>IF(AQ58="7",BH58,0)</f>
      </c>
      <c r="AE58" s="114">
        <f>IF(AQ58="7",BI58,0)</f>
      </c>
      <c r="AF58" s="114">
        <f>IF(AQ58="2",BH58,0)</f>
      </c>
      <c r="AG58" s="114">
        <f>IF(AQ58="2",BI58,0)</f>
      </c>
      <c r="AH58" s="114">
        <f>IF(AQ58="0",BJ58,0)</f>
      </c>
      <c r="AI58" s="133" t="s">
        <v>81</v>
      </c>
      <c r="AJ58" s="114">
        <f>IF(AN58=0,J58,0)</f>
      </c>
      <c r="AK58" s="114">
        <f>IF(AN58=12,J58,0)</f>
      </c>
      <c r="AL58" s="114">
        <f>IF(AN58=21,J58,0)</f>
      </c>
      <c r="AN58" s="114" t="n">
        <v>21</v>
      </c>
      <c r="AO58" s="114">
        <f>G58*0.826827739</f>
      </c>
      <c r="AP58" s="114">
        <f>G58*(1-0.826827739)</f>
      </c>
      <c r="AQ58" s="156" t="s">
        <v>119</v>
      </c>
      <c r="AV58" s="114">
        <f>AW58+AX58</f>
      </c>
      <c r="AW58" s="114">
        <f>F58*AO58</f>
      </c>
      <c r="AX58" s="114">
        <f>F58*AP58</f>
      </c>
      <c r="AY58" s="156" t="s">
        <v>218</v>
      </c>
      <c r="AZ58" s="156" t="s">
        <v>219</v>
      </c>
      <c r="BA58" s="133" t="s">
        <v>126</v>
      </c>
      <c r="BC58" s="114">
        <f>AW58+AX58</f>
      </c>
      <c r="BD58" s="114">
        <f>G58/(100-BE58)*100</f>
      </c>
      <c r="BE58" s="114" t="n">
        <v>0</v>
      </c>
      <c r="BF58" s="114">
        <f>58</f>
      </c>
      <c r="BH58" s="114">
        <f>F58*AO58</f>
      </c>
      <c r="BI58" s="114">
        <f>F58*AP58</f>
      </c>
      <c r="BJ58" s="114">
        <f>F58*G58</f>
      </c>
      <c r="BK58" s="114"/>
      <c r="BL58" s="114" t="n">
        <v>56</v>
      </c>
      <c r="BW58" s="114" t="n">
        <v>21</v>
      </c>
      <c r="BX58" s="14" t="s">
        <v>231</v>
      </c>
    </row>
    <row r="59" customHeight="true" ht="13.5">
      <c r="A59" s="157"/>
      <c r="B59" s="158" t="s">
        <v>143</v>
      </c>
      <c r="C59" s="159" t="s">
        <v>220</v>
      </c>
      <c r="D59" s="160"/>
      <c r="E59" s="160"/>
      <c r="F59" s="160"/>
      <c r="G59" s="161"/>
      <c r="H59" s="160"/>
      <c r="I59" s="160"/>
      <c r="J59" s="160"/>
      <c r="K59" s="162"/>
    </row>
    <row r="60">
      <c r="A60" s="148" t="s">
        <v>10</v>
      </c>
      <c r="B60" s="149" t="s">
        <v>232</v>
      </c>
      <c r="C60" s="150" t="s">
        <v>233</v>
      </c>
      <c r="D60" s="149"/>
      <c r="E60" s="151" t="s">
        <v>74</v>
      </c>
      <c r="F60" s="151" t="s">
        <v>74</v>
      </c>
      <c r="G60" s="152" t="s">
        <v>74</v>
      </c>
      <c r="H60" s="120">
        <f>SUM(H61:H64)</f>
      </c>
      <c r="I60" s="120">
        <f>SUM(I61:I64)</f>
      </c>
      <c r="J60" s="120">
        <f>SUM(J61:J64)</f>
      </c>
      <c r="K60" s="153" t="s">
        <v>10</v>
      </c>
      <c r="AI60" s="133" t="s">
        <v>81</v>
      </c>
      <c r="AS60" s="120">
        <f>SUM(AJ61:AJ64)</f>
      </c>
      <c r="AT60" s="120">
        <f>SUM(AK61:AK64)</f>
      </c>
      <c r="AU60" s="120">
        <f>SUM(AL61:AL64)</f>
      </c>
    </row>
    <row r="61">
      <c r="A61" s="9" t="s">
        <v>234</v>
      </c>
      <c r="B61" s="10" t="s">
        <v>235</v>
      </c>
      <c r="C61" s="14" t="s">
        <v>236</v>
      </c>
      <c r="D61" s="10"/>
      <c r="E61" s="10" t="s">
        <v>237</v>
      </c>
      <c r="F61" s="114" t="n">
        <v>12.5</v>
      </c>
      <c r="G61" s="154" t="n">
        <v>0</v>
      </c>
      <c r="H61" s="114">
        <f>F61*AO61</f>
      </c>
      <c r="I61" s="114">
        <f>F61*AP61</f>
      </c>
      <c r="J61" s="114">
        <f>F61*G61</f>
      </c>
      <c r="K61" s="155" t="s">
        <v>123</v>
      </c>
      <c r="Z61" s="114">
        <f>IF(AQ61="5",BJ61,0)</f>
      </c>
      <c r="AB61" s="114">
        <f>IF(AQ61="1",BH61,0)</f>
      </c>
      <c r="AC61" s="114">
        <f>IF(AQ61="1",BI61,0)</f>
      </c>
      <c r="AD61" s="114">
        <f>IF(AQ61="7",BH61,0)</f>
      </c>
      <c r="AE61" s="114">
        <f>IF(AQ61="7",BI61,0)</f>
      </c>
      <c r="AF61" s="114">
        <f>IF(AQ61="2",BH61,0)</f>
      </c>
      <c r="AG61" s="114">
        <f>IF(AQ61="2",BI61,0)</f>
      </c>
      <c r="AH61" s="114">
        <f>IF(AQ61="0",BJ61,0)</f>
      </c>
      <c r="AI61" s="133" t="s">
        <v>81</v>
      </c>
      <c r="AJ61" s="114">
        <f>IF(AN61=0,J61,0)</f>
      </c>
      <c r="AK61" s="114">
        <f>IF(AN61=12,J61,0)</f>
      </c>
      <c r="AL61" s="114">
        <f>IF(AN61=21,J61,0)</f>
      </c>
      <c r="AN61" s="114" t="n">
        <v>21</v>
      </c>
      <c r="AO61" s="114">
        <f>G61*0.882599034</f>
      </c>
      <c r="AP61" s="114">
        <f>G61*(1-0.882599034)</f>
      </c>
      <c r="AQ61" s="156" t="s">
        <v>119</v>
      </c>
      <c r="AV61" s="114">
        <f>AW61+AX61</f>
      </c>
      <c r="AW61" s="114">
        <f>F61*AO61</f>
      </c>
      <c r="AX61" s="114">
        <f>F61*AP61</f>
      </c>
      <c r="AY61" s="156" t="s">
        <v>238</v>
      </c>
      <c r="AZ61" s="156" t="s">
        <v>219</v>
      </c>
      <c r="BA61" s="133" t="s">
        <v>126</v>
      </c>
      <c r="BC61" s="114">
        <f>AW61+AX61</f>
      </c>
      <c r="BD61" s="114">
        <f>G61/(100-BE61)*100</f>
      </c>
      <c r="BE61" s="114" t="n">
        <v>0</v>
      </c>
      <c r="BF61" s="114">
        <f>61</f>
      </c>
      <c r="BH61" s="114">
        <f>F61*AO61</f>
      </c>
      <c r="BI61" s="114">
        <f>F61*AP61</f>
      </c>
      <c r="BJ61" s="114">
        <f>F61*G61</f>
      </c>
      <c r="BK61" s="114"/>
      <c r="BL61" s="114" t="n">
        <v>59</v>
      </c>
      <c r="BW61" s="114" t="n">
        <v>21</v>
      </c>
      <c r="BX61" s="14" t="s">
        <v>236</v>
      </c>
    </row>
    <row r="62">
      <c r="A62" s="9" t="s">
        <v>239</v>
      </c>
      <c r="B62" s="10" t="s">
        <v>240</v>
      </c>
      <c r="C62" s="14" t="s">
        <v>241</v>
      </c>
      <c r="D62" s="10"/>
      <c r="E62" s="10" t="s">
        <v>158</v>
      </c>
      <c r="F62" s="114" t="n">
        <v>8</v>
      </c>
      <c r="G62" s="154" t="n">
        <v>0</v>
      </c>
      <c r="H62" s="114">
        <f>F62*AO62</f>
      </c>
      <c r="I62" s="114">
        <f>F62*AP62</f>
      </c>
      <c r="J62" s="114">
        <f>F62*G62</f>
      </c>
      <c r="K62" s="155" t="s">
        <v>123</v>
      </c>
      <c r="Z62" s="114">
        <f>IF(AQ62="5",BJ62,0)</f>
      </c>
      <c r="AB62" s="114">
        <f>IF(AQ62="1",BH62,0)</f>
      </c>
      <c r="AC62" s="114">
        <f>IF(AQ62="1",BI62,0)</f>
      </c>
      <c r="AD62" s="114">
        <f>IF(AQ62="7",BH62,0)</f>
      </c>
      <c r="AE62" s="114">
        <f>IF(AQ62="7",BI62,0)</f>
      </c>
      <c r="AF62" s="114">
        <f>IF(AQ62="2",BH62,0)</f>
      </c>
      <c r="AG62" s="114">
        <f>IF(AQ62="2",BI62,0)</f>
      </c>
      <c r="AH62" s="114">
        <f>IF(AQ62="0",BJ62,0)</f>
      </c>
      <c r="AI62" s="133" t="s">
        <v>81</v>
      </c>
      <c r="AJ62" s="114">
        <f>IF(AN62=0,J62,0)</f>
      </c>
      <c r="AK62" s="114">
        <f>IF(AN62=12,J62,0)</f>
      </c>
      <c r="AL62" s="114">
        <f>IF(AN62=21,J62,0)</f>
      </c>
      <c r="AN62" s="114" t="n">
        <v>21</v>
      </c>
      <c r="AO62" s="114">
        <f>G62*0.136006768</f>
      </c>
      <c r="AP62" s="114">
        <f>G62*(1-0.136006768)</f>
      </c>
      <c r="AQ62" s="156" t="s">
        <v>119</v>
      </c>
      <c r="AV62" s="114">
        <f>AW62+AX62</f>
      </c>
      <c r="AW62" s="114">
        <f>F62*AO62</f>
      </c>
      <c r="AX62" s="114">
        <f>F62*AP62</f>
      </c>
      <c r="AY62" s="156" t="s">
        <v>238</v>
      </c>
      <c r="AZ62" s="156" t="s">
        <v>219</v>
      </c>
      <c r="BA62" s="133" t="s">
        <v>126</v>
      </c>
      <c r="BC62" s="114">
        <f>AW62+AX62</f>
      </c>
      <c r="BD62" s="114">
        <f>G62/(100-BE62)*100</f>
      </c>
      <c r="BE62" s="114" t="n">
        <v>0</v>
      </c>
      <c r="BF62" s="114">
        <f>62</f>
      </c>
      <c r="BH62" s="114">
        <f>F62*AO62</f>
      </c>
      <c r="BI62" s="114">
        <f>F62*AP62</f>
      </c>
      <c r="BJ62" s="114">
        <f>F62*G62</f>
      </c>
      <c r="BK62" s="114"/>
      <c r="BL62" s="114" t="n">
        <v>59</v>
      </c>
      <c r="BW62" s="114" t="n">
        <v>21</v>
      </c>
      <c r="BX62" s="14" t="s">
        <v>241</v>
      </c>
    </row>
    <row r="63" ht="24.75">
      <c r="A63" s="157"/>
      <c r="B63" s="158" t="s">
        <v>145</v>
      </c>
      <c r="C63" s="159" t="s">
        <v>242</v>
      </c>
      <c r="D63" s="160"/>
      <c r="E63" s="160"/>
      <c r="F63" s="160"/>
      <c r="G63" s="161"/>
      <c r="H63" s="160"/>
      <c r="I63" s="160"/>
      <c r="J63" s="160"/>
      <c r="K63" s="162"/>
      <c r="BX63" s="159" t="s">
        <v>242</v>
      </c>
    </row>
    <row r="64">
      <c r="A64" s="9" t="s">
        <v>243</v>
      </c>
      <c r="B64" s="10" t="s">
        <v>244</v>
      </c>
      <c r="C64" s="14" t="s">
        <v>245</v>
      </c>
      <c r="D64" s="10"/>
      <c r="E64" s="10" t="s">
        <v>158</v>
      </c>
      <c r="F64" s="114" t="n">
        <v>8</v>
      </c>
      <c r="G64" s="154" t="n">
        <v>0</v>
      </c>
      <c r="H64" s="114">
        <f>F64*AO64</f>
      </c>
      <c r="I64" s="114">
        <f>F64*AP64</f>
      </c>
      <c r="J64" s="114">
        <f>F64*G64</f>
      </c>
      <c r="K64" s="155" t="s">
        <v>123</v>
      </c>
      <c r="Z64" s="114">
        <f>IF(AQ64="5",BJ64,0)</f>
      </c>
      <c r="AB64" s="114">
        <f>IF(AQ64="1",BH64,0)</f>
      </c>
      <c r="AC64" s="114">
        <f>IF(AQ64="1",BI64,0)</f>
      </c>
      <c r="AD64" s="114">
        <f>IF(AQ64="7",BH64,0)</f>
      </c>
      <c r="AE64" s="114">
        <f>IF(AQ64="7",BI64,0)</f>
      </c>
      <c r="AF64" s="114">
        <f>IF(AQ64="2",BH64,0)</f>
      </c>
      <c r="AG64" s="114">
        <f>IF(AQ64="2",BI64,0)</f>
      </c>
      <c r="AH64" s="114">
        <f>IF(AQ64="0",BJ64,0)</f>
      </c>
      <c r="AI64" s="133" t="s">
        <v>81</v>
      </c>
      <c r="AJ64" s="114">
        <f>IF(AN64=0,J64,0)</f>
      </c>
      <c r="AK64" s="114">
        <f>IF(AN64=12,J64,0)</f>
      </c>
      <c r="AL64" s="114">
        <f>IF(AN64=21,J64,0)</f>
      </c>
      <c r="AN64" s="114" t="n">
        <v>21</v>
      </c>
      <c r="AO64" s="114">
        <f>G64*1</f>
      </c>
      <c r="AP64" s="114">
        <f>G64*(1-1)</f>
      </c>
      <c r="AQ64" s="156" t="s">
        <v>119</v>
      </c>
      <c r="AV64" s="114">
        <f>AW64+AX64</f>
      </c>
      <c r="AW64" s="114">
        <f>F64*AO64</f>
      </c>
      <c r="AX64" s="114">
        <f>F64*AP64</f>
      </c>
      <c r="AY64" s="156" t="s">
        <v>238</v>
      </c>
      <c r="AZ64" s="156" t="s">
        <v>219</v>
      </c>
      <c r="BA64" s="133" t="s">
        <v>126</v>
      </c>
      <c r="BC64" s="114">
        <f>AW64+AX64</f>
      </c>
      <c r="BD64" s="114">
        <f>G64/(100-BE64)*100</f>
      </c>
      <c r="BE64" s="114" t="n">
        <v>0</v>
      </c>
      <c r="BF64" s="114">
        <f>64</f>
      </c>
      <c r="BH64" s="114">
        <f>F64*AO64</f>
      </c>
      <c r="BI64" s="114">
        <f>F64*AP64</f>
      </c>
      <c r="BJ64" s="114">
        <f>F64*G64</f>
      </c>
      <c r="BK64" s="114"/>
      <c r="BL64" s="114" t="n">
        <v>59</v>
      </c>
      <c r="BW64" s="114" t="n">
        <v>21</v>
      </c>
      <c r="BX64" s="14" t="s">
        <v>245</v>
      </c>
    </row>
    <row r="65">
      <c r="A65" s="157"/>
      <c r="B65" s="158" t="s">
        <v>145</v>
      </c>
      <c r="C65" s="159" t="s">
        <v>246</v>
      </c>
      <c r="D65" s="160"/>
      <c r="E65" s="160"/>
      <c r="F65" s="160"/>
      <c r="G65" s="161"/>
      <c r="H65" s="160"/>
      <c r="I65" s="160"/>
      <c r="J65" s="160"/>
      <c r="K65" s="162"/>
      <c r="BX65" s="159" t="s">
        <v>246</v>
      </c>
    </row>
    <row r="66">
      <c r="A66" s="148" t="s">
        <v>10</v>
      </c>
      <c r="B66" s="149" t="s">
        <v>247</v>
      </c>
      <c r="C66" s="150" t="s">
        <v>248</v>
      </c>
      <c r="D66" s="149"/>
      <c r="E66" s="151" t="s">
        <v>74</v>
      </c>
      <c r="F66" s="151" t="s">
        <v>74</v>
      </c>
      <c r="G66" s="152" t="s">
        <v>74</v>
      </c>
      <c r="H66" s="120">
        <f>SUM(H67:H74)</f>
      </c>
      <c r="I66" s="120">
        <f>SUM(I67:I74)</f>
      </c>
      <c r="J66" s="120">
        <f>SUM(J67:J74)</f>
      </c>
      <c r="K66" s="153" t="s">
        <v>10</v>
      </c>
      <c r="AI66" s="133" t="s">
        <v>81</v>
      </c>
      <c r="AS66" s="120">
        <f>SUM(AJ67:AJ74)</f>
      </c>
      <c r="AT66" s="120">
        <f>SUM(AK67:AK74)</f>
      </c>
      <c r="AU66" s="120">
        <f>SUM(AL67:AL74)</f>
      </c>
    </row>
    <row r="67">
      <c r="A67" s="9" t="s">
        <v>249</v>
      </c>
      <c r="B67" s="10" t="s">
        <v>250</v>
      </c>
      <c r="C67" s="14" t="s">
        <v>251</v>
      </c>
      <c r="D67" s="10"/>
      <c r="E67" s="10" t="s">
        <v>163</v>
      </c>
      <c r="F67" s="114" t="n">
        <v>2</v>
      </c>
      <c r="G67" s="154" t="n">
        <v>0</v>
      </c>
      <c r="H67" s="114">
        <f>F67*AO67</f>
      </c>
      <c r="I67" s="114">
        <f>F67*AP67</f>
      </c>
      <c r="J67" s="114">
        <f>F67*G67</f>
      </c>
      <c r="K67" s="155" t="s">
        <v>123</v>
      </c>
      <c r="Z67" s="114">
        <f>IF(AQ67="5",BJ67,0)</f>
      </c>
      <c r="AB67" s="114">
        <f>IF(AQ67="1",BH67,0)</f>
      </c>
      <c r="AC67" s="114">
        <f>IF(AQ67="1",BI67,0)</f>
      </c>
      <c r="AD67" s="114">
        <f>IF(AQ67="7",BH67,0)</f>
      </c>
      <c r="AE67" s="114">
        <f>IF(AQ67="7",BI67,0)</f>
      </c>
      <c r="AF67" s="114">
        <f>IF(AQ67="2",BH67,0)</f>
      </c>
      <c r="AG67" s="114">
        <f>IF(AQ67="2",BI67,0)</f>
      </c>
      <c r="AH67" s="114">
        <f>IF(AQ67="0",BJ67,0)</f>
      </c>
      <c r="AI67" s="133" t="s">
        <v>81</v>
      </c>
      <c r="AJ67" s="114">
        <f>IF(AN67=0,J67,0)</f>
      </c>
      <c r="AK67" s="114">
        <f>IF(AN67=12,J67,0)</f>
      </c>
      <c r="AL67" s="114">
        <f>IF(AN67=21,J67,0)</f>
      </c>
      <c r="AN67" s="114" t="n">
        <v>21</v>
      </c>
      <c r="AO67" s="114">
        <f>G67*0.815633466</f>
      </c>
      <c r="AP67" s="114">
        <f>G67*(1-0.815633466)</f>
      </c>
      <c r="AQ67" s="156" t="s">
        <v>119</v>
      </c>
      <c r="AV67" s="114">
        <f>AW67+AX67</f>
      </c>
      <c r="AW67" s="114">
        <f>F67*AO67</f>
      </c>
      <c r="AX67" s="114">
        <f>F67*AP67</f>
      </c>
      <c r="AY67" s="156" t="s">
        <v>252</v>
      </c>
      <c r="AZ67" s="156" t="s">
        <v>253</v>
      </c>
      <c r="BA67" s="133" t="s">
        <v>126</v>
      </c>
      <c r="BC67" s="114">
        <f>AW67+AX67</f>
      </c>
      <c r="BD67" s="114">
        <f>G67/(100-BE67)*100</f>
      </c>
      <c r="BE67" s="114" t="n">
        <v>0</v>
      </c>
      <c r="BF67" s="114">
        <f>67</f>
      </c>
      <c r="BH67" s="114">
        <f>F67*AO67</f>
      </c>
      <c r="BI67" s="114">
        <f>F67*AP67</f>
      </c>
      <c r="BJ67" s="114">
        <f>F67*G67</f>
      </c>
      <c r="BK67" s="114"/>
      <c r="BL67" s="114" t="n">
        <v>91</v>
      </c>
      <c r="BW67" s="114" t="n">
        <v>21</v>
      </c>
      <c r="BX67" s="14" t="s">
        <v>251</v>
      </c>
    </row>
    <row r="68" customHeight="true" ht="13.5">
      <c r="A68" s="157"/>
      <c r="B68" s="158" t="s">
        <v>143</v>
      </c>
      <c r="C68" s="159" t="s">
        <v>254</v>
      </c>
      <c r="D68" s="160"/>
      <c r="E68" s="160"/>
      <c r="F68" s="160"/>
      <c r="G68" s="161"/>
      <c r="H68" s="160"/>
      <c r="I68" s="160"/>
      <c r="J68" s="160"/>
      <c r="K68" s="162"/>
    </row>
    <row r="69">
      <c r="A69" s="9" t="s">
        <v>255</v>
      </c>
      <c r="B69" s="10" t="s">
        <v>256</v>
      </c>
      <c r="C69" s="14" t="s">
        <v>257</v>
      </c>
      <c r="D69" s="10"/>
      <c r="E69" s="10" t="s">
        <v>237</v>
      </c>
      <c r="F69" s="114" t="n">
        <v>12</v>
      </c>
      <c r="G69" s="154" t="n">
        <v>0</v>
      </c>
      <c r="H69" s="114">
        <f>F69*AO69</f>
      </c>
      <c r="I69" s="114">
        <f>F69*AP69</f>
      </c>
      <c r="J69" s="114">
        <f>F69*G69</f>
      </c>
      <c r="K69" s="155" t="s">
        <v>123</v>
      </c>
      <c r="Z69" s="114">
        <f>IF(AQ69="5",BJ69,0)</f>
      </c>
      <c r="AB69" s="114">
        <f>IF(AQ69="1",BH69,0)</f>
      </c>
      <c r="AC69" s="114">
        <f>IF(AQ69="1",BI69,0)</f>
      </c>
      <c r="AD69" s="114">
        <f>IF(AQ69="7",BH69,0)</f>
      </c>
      <c r="AE69" s="114">
        <f>IF(AQ69="7",BI69,0)</f>
      </c>
      <c r="AF69" s="114">
        <f>IF(AQ69="2",BH69,0)</f>
      </c>
      <c r="AG69" s="114">
        <f>IF(AQ69="2",BI69,0)</f>
      </c>
      <c r="AH69" s="114">
        <f>IF(AQ69="0",BJ69,0)</f>
      </c>
      <c r="AI69" s="133" t="s">
        <v>81</v>
      </c>
      <c r="AJ69" s="114">
        <f>IF(AN69=0,J69,0)</f>
      </c>
      <c r="AK69" s="114">
        <f>IF(AN69=12,J69,0)</f>
      </c>
      <c r="AL69" s="114">
        <f>IF(AN69=21,J69,0)</f>
      </c>
      <c r="AN69" s="114" t="n">
        <v>21</v>
      </c>
      <c r="AO69" s="114">
        <f>G69*0.784233577</f>
      </c>
      <c r="AP69" s="114">
        <f>G69*(1-0.784233577)</f>
      </c>
      <c r="AQ69" s="156" t="s">
        <v>119</v>
      </c>
      <c r="AV69" s="114">
        <f>AW69+AX69</f>
      </c>
      <c r="AW69" s="114">
        <f>F69*AO69</f>
      </c>
      <c r="AX69" s="114">
        <f>F69*AP69</f>
      </c>
      <c r="AY69" s="156" t="s">
        <v>252</v>
      </c>
      <c r="AZ69" s="156" t="s">
        <v>253</v>
      </c>
      <c r="BA69" s="133" t="s">
        <v>126</v>
      </c>
      <c r="BC69" s="114">
        <f>AW69+AX69</f>
      </c>
      <c r="BD69" s="114">
        <f>G69/(100-BE69)*100</f>
      </c>
      <c r="BE69" s="114" t="n">
        <v>0</v>
      </c>
      <c r="BF69" s="114">
        <f>69</f>
      </c>
      <c r="BH69" s="114">
        <f>F69*AO69</f>
      </c>
      <c r="BI69" s="114">
        <f>F69*AP69</f>
      </c>
      <c r="BJ69" s="114">
        <f>F69*G69</f>
      </c>
      <c r="BK69" s="114"/>
      <c r="BL69" s="114" t="n">
        <v>91</v>
      </c>
      <c r="BW69" s="114" t="n">
        <v>21</v>
      </c>
      <c r="BX69" s="14" t="s">
        <v>257</v>
      </c>
    </row>
    <row r="70" customHeight="true" ht="13.5">
      <c r="A70" s="157"/>
      <c r="B70" s="158" t="s">
        <v>143</v>
      </c>
      <c r="C70" s="159" t="s">
        <v>258</v>
      </c>
      <c r="D70" s="160"/>
      <c r="E70" s="160"/>
      <c r="F70" s="160"/>
      <c r="G70" s="161"/>
      <c r="H70" s="160"/>
      <c r="I70" s="160"/>
      <c r="J70" s="160"/>
      <c r="K70" s="162"/>
    </row>
    <row r="71" ht="24.75">
      <c r="A71" s="157"/>
      <c r="B71" s="158" t="s">
        <v>145</v>
      </c>
      <c r="C71" s="159" t="s">
        <v>259</v>
      </c>
      <c r="D71" s="160"/>
      <c r="E71" s="160"/>
      <c r="F71" s="160"/>
      <c r="G71" s="161"/>
      <c r="H71" s="160"/>
      <c r="I71" s="160"/>
      <c r="J71" s="160"/>
      <c r="K71" s="162"/>
      <c r="BX71" s="159" t="s">
        <v>259</v>
      </c>
    </row>
    <row r="72">
      <c r="A72" s="9" t="s">
        <v>260</v>
      </c>
      <c r="B72" s="10" t="s">
        <v>261</v>
      </c>
      <c r="C72" s="14" t="s">
        <v>262</v>
      </c>
      <c r="D72" s="10"/>
      <c r="E72" s="10" t="s">
        <v>163</v>
      </c>
      <c r="F72" s="114" t="n">
        <v>2</v>
      </c>
      <c r="G72" s="154" t="n">
        <v>0</v>
      </c>
      <c r="H72" s="114">
        <f>F72*AO72</f>
      </c>
      <c r="I72" s="114">
        <f>F72*AP72</f>
      </c>
      <c r="J72" s="114">
        <f>F72*G72</f>
      </c>
      <c r="K72" s="155" t="s">
        <v>123</v>
      </c>
      <c r="Z72" s="114">
        <f>IF(AQ72="5",BJ72,0)</f>
      </c>
      <c r="AB72" s="114">
        <f>IF(AQ72="1",BH72,0)</f>
      </c>
      <c r="AC72" s="114">
        <f>IF(AQ72="1",BI72,0)</f>
      </c>
      <c r="AD72" s="114">
        <f>IF(AQ72="7",BH72,0)</f>
      </c>
      <c r="AE72" s="114">
        <f>IF(AQ72="7",BI72,0)</f>
      </c>
      <c r="AF72" s="114">
        <f>IF(AQ72="2",BH72,0)</f>
      </c>
      <c r="AG72" s="114">
        <f>IF(AQ72="2",BI72,0)</f>
      </c>
      <c r="AH72" s="114">
        <f>IF(AQ72="0",BJ72,0)</f>
      </c>
      <c r="AI72" s="133" t="s">
        <v>81</v>
      </c>
      <c r="AJ72" s="114">
        <f>IF(AN72=0,J72,0)</f>
      </c>
      <c r="AK72" s="114">
        <f>IF(AN72=12,J72,0)</f>
      </c>
      <c r="AL72" s="114">
        <f>IF(AN72=21,J72,0)</f>
      </c>
      <c r="AN72" s="114" t="n">
        <v>21</v>
      </c>
      <c r="AO72" s="114">
        <f>G72*0.699919645</f>
      </c>
      <c r="AP72" s="114">
        <f>G72*(1-0.699919645)</f>
      </c>
      <c r="AQ72" s="156" t="s">
        <v>119</v>
      </c>
      <c r="AV72" s="114">
        <f>AW72+AX72</f>
      </c>
      <c r="AW72" s="114">
        <f>F72*AO72</f>
      </c>
      <c r="AX72" s="114">
        <f>F72*AP72</f>
      </c>
      <c r="AY72" s="156" t="s">
        <v>252</v>
      </c>
      <c r="AZ72" s="156" t="s">
        <v>253</v>
      </c>
      <c r="BA72" s="133" t="s">
        <v>126</v>
      </c>
      <c r="BC72" s="114">
        <f>AW72+AX72</f>
      </c>
      <c r="BD72" s="114">
        <f>G72/(100-BE72)*100</f>
      </c>
      <c r="BE72" s="114" t="n">
        <v>0</v>
      </c>
      <c r="BF72" s="114">
        <f>72</f>
      </c>
      <c r="BH72" s="114">
        <f>F72*AO72</f>
      </c>
      <c r="BI72" s="114">
        <f>F72*AP72</f>
      </c>
      <c r="BJ72" s="114">
        <f>F72*G72</f>
      </c>
      <c r="BK72" s="114"/>
      <c r="BL72" s="114" t="n">
        <v>91</v>
      </c>
      <c r="BW72" s="114" t="n">
        <v>21</v>
      </c>
      <c r="BX72" s="14" t="s">
        <v>262</v>
      </c>
    </row>
    <row r="73">
      <c r="A73" s="157"/>
      <c r="B73" s="158" t="s">
        <v>145</v>
      </c>
      <c r="C73" s="159" t="s">
        <v>263</v>
      </c>
      <c r="D73" s="160"/>
      <c r="E73" s="160"/>
      <c r="F73" s="160"/>
      <c r="G73" s="161"/>
      <c r="H73" s="160"/>
      <c r="I73" s="160"/>
      <c r="J73" s="160"/>
      <c r="K73" s="162"/>
      <c r="BX73" s="159" t="s">
        <v>263</v>
      </c>
    </row>
    <row r="74">
      <c r="A74" s="9" t="s">
        <v>264</v>
      </c>
      <c r="B74" s="10" t="s">
        <v>265</v>
      </c>
      <c r="C74" s="14" t="s">
        <v>266</v>
      </c>
      <c r="D74" s="10"/>
      <c r="E74" s="10" t="s">
        <v>163</v>
      </c>
      <c r="F74" s="114" t="n">
        <v>2</v>
      </c>
      <c r="G74" s="154" t="n">
        <v>0</v>
      </c>
      <c r="H74" s="114">
        <f>F74*AO74</f>
      </c>
      <c r="I74" s="114">
        <f>F74*AP74</f>
      </c>
      <c r="J74" s="114">
        <f>F74*G74</f>
      </c>
      <c r="K74" s="155" t="s">
        <v>123</v>
      </c>
      <c r="Z74" s="114">
        <f>IF(AQ74="5",BJ74,0)</f>
      </c>
      <c r="AB74" s="114">
        <f>IF(AQ74="1",BH74,0)</f>
      </c>
      <c r="AC74" s="114">
        <f>IF(AQ74="1",BI74,0)</f>
      </c>
      <c r="AD74" s="114">
        <f>IF(AQ74="7",BH74,0)</f>
      </c>
      <c r="AE74" s="114">
        <f>IF(AQ74="7",BI74,0)</f>
      </c>
      <c r="AF74" s="114">
        <f>IF(AQ74="2",BH74,0)</f>
      </c>
      <c r="AG74" s="114">
        <f>IF(AQ74="2",BI74,0)</f>
      </c>
      <c r="AH74" s="114">
        <f>IF(AQ74="0",BJ74,0)</f>
      </c>
      <c r="AI74" s="133" t="s">
        <v>81</v>
      </c>
      <c r="AJ74" s="114">
        <f>IF(AN74=0,J74,0)</f>
      </c>
      <c r="AK74" s="114">
        <f>IF(AN74=12,J74,0)</f>
      </c>
      <c r="AL74" s="114">
        <f>IF(AN74=21,J74,0)</f>
      </c>
      <c r="AN74" s="114" t="n">
        <v>21</v>
      </c>
      <c r="AO74" s="114">
        <f>G74*1</f>
      </c>
      <c r="AP74" s="114">
        <f>G74*(1-1)</f>
      </c>
      <c r="AQ74" s="156" t="s">
        <v>119</v>
      </c>
      <c r="AV74" s="114">
        <f>AW74+AX74</f>
      </c>
      <c r="AW74" s="114">
        <f>F74*AO74</f>
      </c>
      <c r="AX74" s="114">
        <f>F74*AP74</f>
      </c>
      <c r="AY74" s="156" t="s">
        <v>252</v>
      </c>
      <c r="AZ74" s="156" t="s">
        <v>253</v>
      </c>
      <c r="BA74" s="133" t="s">
        <v>126</v>
      </c>
      <c r="BC74" s="114">
        <f>AW74+AX74</f>
      </c>
      <c r="BD74" s="114">
        <f>G74/(100-BE74)*100</f>
      </c>
      <c r="BE74" s="114" t="n">
        <v>0</v>
      </c>
      <c r="BF74" s="114">
        <f>74</f>
      </c>
      <c r="BH74" s="114">
        <f>F74*AO74</f>
      </c>
      <c r="BI74" s="114">
        <f>F74*AP74</f>
      </c>
      <c r="BJ74" s="114">
        <f>F74*G74</f>
      </c>
      <c r="BK74" s="114"/>
      <c r="BL74" s="114" t="n">
        <v>91</v>
      </c>
      <c r="BW74" s="114" t="n">
        <v>21</v>
      </c>
      <c r="BX74" s="14" t="s">
        <v>266</v>
      </c>
    </row>
    <row r="75" ht="36.75">
      <c r="A75" s="157"/>
      <c r="B75" s="158" t="s">
        <v>145</v>
      </c>
      <c r="C75" s="159" t="s">
        <v>267</v>
      </c>
      <c r="D75" s="160"/>
      <c r="E75" s="160"/>
      <c r="F75" s="160"/>
      <c r="G75" s="161"/>
      <c r="H75" s="160"/>
      <c r="I75" s="160"/>
      <c r="J75" s="160"/>
      <c r="K75" s="162"/>
      <c r="BX75" s="159" t="s">
        <v>267</v>
      </c>
    </row>
    <row r="76">
      <c r="A76" s="148" t="s">
        <v>10</v>
      </c>
      <c r="B76" s="149" t="s">
        <v>268</v>
      </c>
      <c r="C76" s="150" t="s">
        <v>269</v>
      </c>
      <c r="D76" s="149"/>
      <c r="E76" s="151" t="s">
        <v>74</v>
      </c>
      <c r="F76" s="151" t="s">
        <v>74</v>
      </c>
      <c r="G76" s="152" t="s">
        <v>74</v>
      </c>
      <c r="H76" s="120">
        <f>SUM(H77:H77)</f>
      </c>
      <c r="I76" s="120">
        <f>SUM(I77:I77)</f>
      </c>
      <c r="J76" s="120">
        <f>SUM(J77:J77)</f>
      </c>
      <c r="K76" s="153" t="s">
        <v>10</v>
      </c>
      <c r="AI76" s="133" t="s">
        <v>81</v>
      </c>
      <c r="AS76" s="120">
        <f>SUM(AJ77:AJ77)</f>
      </c>
      <c r="AT76" s="120">
        <f>SUM(AK77:AK77)</f>
      </c>
      <c r="AU76" s="120">
        <f>SUM(AL77:AL77)</f>
      </c>
    </row>
    <row r="77">
      <c r="A77" s="9" t="s">
        <v>270</v>
      </c>
      <c r="B77" s="10" t="s">
        <v>271</v>
      </c>
      <c r="C77" s="14" t="s">
        <v>272</v>
      </c>
      <c r="D77" s="10"/>
      <c r="E77" s="10" t="s">
        <v>237</v>
      </c>
      <c r="F77" s="114" t="n">
        <v>25</v>
      </c>
      <c r="G77" s="154" t="n">
        <v>0</v>
      </c>
      <c r="H77" s="114">
        <f>F77*AO77</f>
      </c>
      <c r="I77" s="114">
        <f>F77*AP77</f>
      </c>
      <c r="J77" s="114">
        <f>F77*G77</f>
      </c>
      <c r="K77" s="155" t="s">
        <v>123</v>
      </c>
      <c r="Z77" s="114">
        <f>IF(AQ77="5",BJ77,0)</f>
      </c>
      <c r="AB77" s="114">
        <f>IF(AQ77="1",BH77,0)</f>
      </c>
      <c r="AC77" s="114">
        <f>IF(AQ77="1",BI77,0)</f>
      </c>
      <c r="AD77" s="114">
        <f>IF(AQ77="7",BH77,0)</f>
      </c>
      <c r="AE77" s="114">
        <f>IF(AQ77="7",BI77,0)</f>
      </c>
      <c r="AF77" s="114">
        <f>IF(AQ77="2",BH77,0)</f>
      </c>
      <c r="AG77" s="114">
        <f>IF(AQ77="2",BI77,0)</f>
      </c>
      <c r="AH77" s="114">
        <f>IF(AQ77="0",BJ77,0)</f>
      </c>
      <c r="AI77" s="133" t="s">
        <v>81</v>
      </c>
      <c r="AJ77" s="114">
        <f>IF(AN77=0,J77,0)</f>
      </c>
      <c r="AK77" s="114">
        <f>IF(AN77=12,J77,0)</f>
      </c>
      <c r="AL77" s="114">
        <f>IF(AN77=21,J77,0)</f>
      </c>
      <c r="AN77" s="114" t="n">
        <v>21</v>
      </c>
      <c r="AO77" s="114">
        <f>G77*0.650136199</f>
      </c>
      <c r="AP77" s="114">
        <f>G77*(1-0.650136199)</f>
      </c>
      <c r="AQ77" s="156" t="s">
        <v>119</v>
      </c>
      <c r="AV77" s="114">
        <f>AW77+AX77</f>
      </c>
      <c r="AW77" s="114">
        <f>F77*AO77</f>
      </c>
      <c r="AX77" s="114">
        <f>F77*AP77</f>
      </c>
      <c r="AY77" s="156" t="s">
        <v>273</v>
      </c>
      <c r="AZ77" s="156" t="s">
        <v>253</v>
      </c>
      <c r="BA77" s="133" t="s">
        <v>126</v>
      </c>
      <c r="BC77" s="114">
        <f>AW77+AX77</f>
      </c>
      <c r="BD77" s="114">
        <f>G77/(100-BE77)*100</f>
      </c>
      <c r="BE77" s="114" t="n">
        <v>0</v>
      </c>
      <c r="BF77" s="114">
        <f>77</f>
      </c>
      <c r="BH77" s="114">
        <f>F77*AO77</f>
      </c>
      <c r="BI77" s="114">
        <f>F77*AP77</f>
      </c>
      <c r="BJ77" s="114">
        <f>F77*G77</f>
      </c>
      <c r="BK77" s="114"/>
      <c r="BL77" s="114" t="n">
        <v>93</v>
      </c>
      <c r="BW77" s="114" t="n">
        <v>21</v>
      </c>
      <c r="BX77" s="14" t="s">
        <v>272</v>
      </c>
    </row>
    <row r="78">
      <c r="A78" s="148" t="s">
        <v>10</v>
      </c>
      <c r="B78" s="149" t="s">
        <v>274</v>
      </c>
      <c r="C78" s="150" t="s">
        <v>275</v>
      </c>
      <c r="D78" s="149"/>
      <c r="E78" s="151" t="s">
        <v>74</v>
      </c>
      <c r="F78" s="151" t="s">
        <v>74</v>
      </c>
      <c r="G78" s="152" t="s">
        <v>74</v>
      </c>
      <c r="H78" s="120">
        <f>SUM(H79:H79)</f>
      </c>
      <c r="I78" s="120">
        <f>SUM(I79:I79)</f>
      </c>
      <c r="J78" s="120">
        <f>SUM(J79:J79)</f>
      </c>
      <c r="K78" s="153" t="s">
        <v>10</v>
      </c>
      <c r="AI78" s="133" t="s">
        <v>81</v>
      </c>
      <c r="AS78" s="120">
        <f>SUM(AJ79:AJ79)</f>
      </c>
      <c r="AT78" s="120">
        <f>SUM(AK79:AK79)</f>
      </c>
      <c r="AU78" s="120">
        <f>SUM(AL79:AL79)</f>
      </c>
    </row>
    <row r="79">
      <c r="A79" s="9" t="s">
        <v>276</v>
      </c>
      <c r="B79" s="10" t="s">
        <v>277</v>
      </c>
      <c r="C79" s="14" t="s">
        <v>278</v>
      </c>
      <c r="D79" s="10"/>
      <c r="E79" s="10" t="s">
        <v>163</v>
      </c>
      <c r="F79" s="114" t="n">
        <v>16</v>
      </c>
      <c r="G79" s="154" t="n">
        <v>0</v>
      </c>
      <c r="H79" s="114">
        <f>F79*AO79</f>
      </c>
      <c r="I79" s="114">
        <f>F79*AP79</f>
      </c>
      <c r="J79" s="114">
        <f>F79*G79</f>
      </c>
      <c r="K79" s="155" t="s">
        <v>123</v>
      </c>
      <c r="Z79" s="114">
        <f>IF(AQ79="5",BJ79,0)</f>
      </c>
      <c r="AB79" s="114">
        <f>IF(AQ79="1",BH79,0)</f>
      </c>
      <c r="AC79" s="114">
        <f>IF(AQ79="1",BI79,0)</f>
      </c>
      <c r="AD79" s="114">
        <f>IF(AQ79="7",BH79,0)</f>
      </c>
      <c r="AE79" s="114">
        <f>IF(AQ79="7",BI79,0)</f>
      </c>
      <c r="AF79" s="114">
        <f>IF(AQ79="2",BH79,0)</f>
      </c>
      <c r="AG79" s="114">
        <f>IF(AQ79="2",BI79,0)</f>
      </c>
      <c r="AH79" s="114">
        <f>IF(AQ79="0",BJ79,0)</f>
      </c>
      <c r="AI79" s="133" t="s">
        <v>81</v>
      </c>
      <c r="AJ79" s="114">
        <f>IF(AN79=0,J79,0)</f>
      </c>
      <c r="AK79" s="114">
        <f>IF(AN79=12,J79,0)</f>
      </c>
      <c r="AL79" s="114">
        <f>IF(AN79=21,J79,0)</f>
      </c>
      <c r="AN79" s="114" t="n">
        <v>21</v>
      </c>
      <c r="AO79" s="114">
        <f>G79*0.536061381</f>
      </c>
      <c r="AP79" s="114">
        <f>G79*(1-0.536061381)</f>
      </c>
      <c r="AQ79" s="156" t="s">
        <v>119</v>
      </c>
      <c r="AV79" s="114">
        <f>AW79+AX79</f>
      </c>
      <c r="AW79" s="114">
        <f>F79*AO79</f>
      </c>
      <c r="AX79" s="114">
        <f>F79*AP79</f>
      </c>
      <c r="AY79" s="156" t="s">
        <v>279</v>
      </c>
      <c r="AZ79" s="156" t="s">
        <v>253</v>
      </c>
      <c r="BA79" s="133" t="s">
        <v>126</v>
      </c>
      <c r="BC79" s="114">
        <f>AW79+AX79</f>
      </c>
      <c r="BD79" s="114">
        <f>G79/(100-BE79)*100</f>
      </c>
      <c r="BE79" s="114" t="n">
        <v>0</v>
      </c>
      <c r="BF79" s="114">
        <f>79</f>
      </c>
      <c r="BH79" s="114">
        <f>F79*AO79</f>
      </c>
      <c r="BI79" s="114">
        <f>F79*AP79</f>
      </c>
      <c r="BJ79" s="114">
        <f>F79*G79</f>
      </c>
      <c r="BK79" s="114"/>
      <c r="BL79" s="114" t="n">
        <v>95</v>
      </c>
      <c r="BW79" s="114" t="n">
        <v>21</v>
      </c>
      <c r="BX79" s="14" t="s">
        <v>278</v>
      </c>
    </row>
    <row r="80" ht="24.75">
      <c r="A80" s="157"/>
      <c r="B80" s="158" t="s">
        <v>145</v>
      </c>
      <c r="C80" s="159" t="s">
        <v>280</v>
      </c>
      <c r="D80" s="160"/>
      <c r="E80" s="160"/>
      <c r="F80" s="160"/>
      <c r="G80" s="161"/>
      <c r="H80" s="160"/>
      <c r="I80" s="160"/>
      <c r="J80" s="160"/>
      <c r="K80" s="162"/>
      <c r="BX80" s="159" t="s">
        <v>280</v>
      </c>
    </row>
    <row r="81">
      <c r="A81" s="148" t="s">
        <v>10</v>
      </c>
      <c r="B81" s="149" t="s">
        <v>281</v>
      </c>
      <c r="C81" s="150" t="s">
        <v>282</v>
      </c>
      <c r="D81" s="149"/>
      <c r="E81" s="151" t="s">
        <v>74</v>
      </c>
      <c r="F81" s="151" t="s">
        <v>74</v>
      </c>
      <c r="G81" s="152" t="s">
        <v>74</v>
      </c>
      <c r="H81" s="120">
        <f>SUM(H82:H88)</f>
      </c>
      <c r="I81" s="120">
        <f>SUM(I82:I88)</f>
      </c>
      <c r="J81" s="120">
        <f>SUM(J82:J88)</f>
      </c>
      <c r="K81" s="153" t="s">
        <v>10</v>
      </c>
      <c r="AI81" s="133" t="s">
        <v>81</v>
      </c>
      <c r="AS81" s="120">
        <f>SUM(AJ82:AJ88)</f>
      </c>
      <c r="AT81" s="120">
        <f>SUM(AK82:AK88)</f>
      </c>
      <c r="AU81" s="120">
        <f>SUM(AL82:AL88)</f>
      </c>
    </row>
    <row r="82">
      <c r="A82" s="9" t="s">
        <v>283</v>
      </c>
      <c r="B82" s="10" t="s">
        <v>284</v>
      </c>
      <c r="C82" s="14" t="s">
        <v>285</v>
      </c>
      <c r="D82" s="10"/>
      <c r="E82" s="10" t="s">
        <v>286</v>
      </c>
      <c r="F82" s="114" t="n">
        <v>1</v>
      </c>
      <c r="G82" s="154" t="n">
        <v>0</v>
      </c>
      <c r="H82" s="114">
        <f>F82*AO82</f>
      </c>
      <c r="I82" s="114">
        <f>F82*AP82</f>
      </c>
      <c r="J82" s="114">
        <f>F82*G82</f>
      </c>
      <c r="K82" s="155" t="s">
        <v>10</v>
      </c>
      <c r="Z82" s="114">
        <f>IF(AQ82="5",BJ82,0)</f>
      </c>
      <c r="AB82" s="114">
        <f>IF(AQ82="1",BH82,0)</f>
      </c>
      <c r="AC82" s="114">
        <f>IF(AQ82="1",BI82,0)</f>
      </c>
      <c r="AD82" s="114">
        <f>IF(AQ82="7",BH82,0)</f>
      </c>
      <c r="AE82" s="114">
        <f>IF(AQ82="7",BI82,0)</f>
      </c>
      <c r="AF82" s="114">
        <f>IF(AQ82="2",BH82,0)</f>
      </c>
      <c r="AG82" s="114">
        <f>IF(AQ82="2",BI82,0)</f>
      </c>
      <c r="AH82" s="114">
        <f>IF(AQ82="0",BJ82,0)</f>
      </c>
      <c r="AI82" s="133" t="s">
        <v>81</v>
      </c>
      <c r="AJ82" s="114">
        <f>IF(AN82=0,J82,0)</f>
      </c>
      <c r="AK82" s="114">
        <f>IF(AN82=12,J82,0)</f>
      </c>
      <c r="AL82" s="114">
        <f>IF(AN82=21,J82,0)</f>
      </c>
      <c r="AN82" s="114" t="n">
        <v>21</v>
      </c>
      <c r="AO82" s="114">
        <f>G82*0</f>
      </c>
      <c r="AP82" s="114">
        <f>G82*(1-0)</f>
      </c>
      <c r="AQ82" s="156" t="s">
        <v>119</v>
      </c>
      <c r="AV82" s="114">
        <f>AW82+AX82</f>
      </c>
      <c r="AW82" s="114">
        <f>F82*AO82</f>
      </c>
      <c r="AX82" s="114">
        <f>F82*AP82</f>
      </c>
      <c r="AY82" s="156" t="s">
        <v>287</v>
      </c>
      <c r="AZ82" s="156" t="s">
        <v>253</v>
      </c>
      <c r="BA82" s="133" t="s">
        <v>126</v>
      </c>
      <c r="BC82" s="114">
        <f>AW82+AX82</f>
      </c>
      <c r="BD82" s="114">
        <f>G82/(100-BE82)*100</f>
      </c>
      <c r="BE82" s="114" t="n">
        <v>0</v>
      </c>
      <c r="BF82" s="114">
        <f>82</f>
      </c>
      <c r="BH82" s="114">
        <f>F82*AO82</f>
      </c>
      <c r="BI82" s="114">
        <f>F82*AP82</f>
      </c>
      <c r="BJ82" s="114">
        <f>F82*G82</f>
      </c>
      <c r="BK82" s="114"/>
      <c r="BL82" s="114"/>
      <c r="BW82" s="114" t="n">
        <v>21</v>
      </c>
      <c r="BX82" s="14" t="s">
        <v>285</v>
      </c>
    </row>
    <row r="83">
      <c r="A83" s="9" t="s">
        <v>288</v>
      </c>
      <c r="B83" s="10" t="s">
        <v>289</v>
      </c>
      <c r="C83" s="14" t="s">
        <v>290</v>
      </c>
      <c r="D83" s="10"/>
      <c r="E83" s="10" t="s">
        <v>286</v>
      </c>
      <c r="F83" s="114" t="n">
        <v>1</v>
      </c>
      <c r="G83" s="154" t="n">
        <v>0</v>
      </c>
      <c r="H83" s="114">
        <f>F83*AO83</f>
      </c>
      <c r="I83" s="114">
        <f>F83*AP83</f>
      </c>
      <c r="J83" s="114">
        <f>F83*G83</f>
      </c>
      <c r="K83" s="155" t="s">
        <v>10</v>
      </c>
      <c r="Z83" s="114">
        <f>IF(AQ83="5",BJ83,0)</f>
      </c>
      <c r="AB83" s="114">
        <f>IF(AQ83="1",BH83,0)</f>
      </c>
      <c r="AC83" s="114">
        <f>IF(AQ83="1",BI83,0)</f>
      </c>
      <c r="AD83" s="114">
        <f>IF(AQ83="7",BH83,0)</f>
      </c>
      <c r="AE83" s="114">
        <f>IF(AQ83="7",BI83,0)</f>
      </c>
      <c r="AF83" s="114">
        <f>IF(AQ83="2",BH83,0)</f>
      </c>
      <c r="AG83" s="114">
        <f>IF(AQ83="2",BI83,0)</f>
      </c>
      <c r="AH83" s="114">
        <f>IF(AQ83="0",BJ83,0)</f>
      </c>
      <c r="AI83" s="133" t="s">
        <v>81</v>
      </c>
      <c r="AJ83" s="114">
        <f>IF(AN83=0,J83,0)</f>
      </c>
      <c r="AK83" s="114">
        <f>IF(AN83=12,J83,0)</f>
      </c>
      <c r="AL83" s="114">
        <f>IF(AN83=21,J83,0)</f>
      </c>
      <c r="AN83" s="114" t="n">
        <v>21</v>
      </c>
      <c r="AO83" s="114">
        <f>G83*0</f>
      </c>
      <c r="AP83" s="114">
        <f>G83*(1-0)</f>
      </c>
      <c r="AQ83" s="156" t="s">
        <v>119</v>
      </c>
      <c r="AV83" s="114">
        <f>AW83+AX83</f>
      </c>
      <c r="AW83" s="114">
        <f>F83*AO83</f>
      </c>
      <c r="AX83" s="114">
        <f>F83*AP83</f>
      </c>
      <c r="AY83" s="156" t="s">
        <v>287</v>
      </c>
      <c r="AZ83" s="156" t="s">
        <v>253</v>
      </c>
      <c r="BA83" s="133" t="s">
        <v>126</v>
      </c>
      <c r="BC83" s="114">
        <f>AW83+AX83</f>
      </c>
      <c r="BD83" s="114">
        <f>G83/(100-BE83)*100</f>
      </c>
      <c r="BE83" s="114" t="n">
        <v>0</v>
      </c>
      <c r="BF83" s="114">
        <f>83</f>
      </c>
      <c r="BH83" s="114">
        <f>F83*AO83</f>
      </c>
      <c r="BI83" s="114">
        <f>F83*AP83</f>
      </c>
      <c r="BJ83" s="114">
        <f>F83*G83</f>
      </c>
      <c r="BK83" s="114"/>
      <c r="BL83" s="114"/>
      <c r="BW83" s="114" t="n">
        <v>21</v>
      </c>
      <c r="BX83" s="14" t="s">
        <v>290</v>
      </c>
    </row>
    <row r="84">
      <c r="A84" s="9" t="s">
        <v>291</v>
      </c>
      <c r="B84" s="10" t="s">
        <v>292</v>
      </c>
      <c r="C84" s="14" t="s">
        <v>293</v>
      </c>
      <c r="D84" s="10"/>
      <c r="E84" s="10" t="s">
        <v>286</v>
      </c>
      <c r="F84" s="114" t="n">
        <v>2</v>
      </c>
      <c r="G84" s="154" t="n">
        <v>0</v>
      </c>
      <c r="H84" s="114">
        <f>F84*AO84</f>
      </c>
      <c r="I84" s="114">
        <f>F84*AP84</f>
      </c>
      <c r="J84" s="114">
        <f>F84*G84</f>
      </c>
      <c r="K84" s="155" t="s">
        <v>10</v>
      </c>
      <c r="Z84" s="114">
        <f>IF(AQ84="5",BJ84,0)</f>
      </c>
      <c r="AB84" s="114">
        <f>IF(AQ84="1",BH84,0)</f>
      </c>
      <c r="AC84" s="114">
        <f>IF(AQ84="1",BI84,0)</f>
      </c>
      <c r="AD84" s="114">
        <f>IF(AQ84="7",BH84,0)</f>
      </c>
      <c r="AE84" s="114">
        <f>IF(AQ84="7",BI84,0)</f>
      </c>
      <c r="AF84" s="114">
        <f>IF(AQ84="2",BH84,0)</f>
      </c>
      <c r="AG84" s="114">
        <f>IF(AQ84="2",BI84,0)</f>
      </c>
      <c r="AH84" s="114">
        <f>IF(AQ84="0",BJ84,0)</f>
      </c>
      <c r="AI84" s="133" t="s">
        <v>81</v>
      </c>
      <c r="AJ84" s="114">
        <f>IF(AN84=0,J84,0)</f>
      </c>
      <c r="AK84" s="114">
        <f>IF(AN84=12,J84,0)</f>
      </c>
      <c r="AL84" s="114">
        <f>IF(AN84=21,J84,0)</f>
      </c>
      <c r="AN84" s="114" t="n">
        <v>21</v>
      </c>
      <c r="AO84" s="114">
        <f>G84*0</f>
      </c>
      <c r="AP84" s="114">
        <f>G84*(1-0)</f>
      </c>
      <c r="AQ84" s="156" t="s">
        <v>119</v>
      </c>
      <c r="AV84" s="114">
        <f>AW84+AX84</f>
      </c>
      <c r="AW84" s="114">
        <f>F84*AO84</f>
      </c>
      <c r="AX84" s="114">
        <f>F84*AP84</f>
      </c>
      <c r="AY84" s="156" t="s">
        <v>287</v>
      </c>
      <c r="AZ84" s="156" t="s">
        <v>253</v>
      </c>
      <c r="BA84" s="133" t="s">
        <v>126</v>
      </c>
      <c r="BC84" s="114">
        <f>AW84+AX84</f>
      </c>
      <c r="BD84" s="114">
        <f>G84/(100-BE84)*100</f>
      </c>
      <c r="BE84" s="114" t="n">
        <v>0</v>
      </c>
      <c r="BF84" s="114">
        <f>84</f>
      </c>
      <c r="BH84" s="114">
        <f>F84*AO84</f>
      </c>
      <c r="BI84" s="114">
        <f>F84*AP84</f>
      </c>
      <c r="BJ84" s="114">
        <f>F84*G84</f>
      </c>
      <c r="BK84" s="114"/>
      <c r="BL84" s="114"/>
      <c r="BW84" s="114" t="n">
        <v>21</v>
      </c>
      <c r="BX84" s="14" t="s">
        <v>293</v>
      </c>
    </row>
    <row r="85">
      <c r="A85" s="9" t="s">
        <v>294</v>
      </c>
      <c r="B85" s="10" t="s">
        <v>295</v>
      </c>
      <c r="C85" s="14" t="s">
        <v>296</v>
      </c>
      <c r="D85" s="10"/>
      <c r="E85" s="10" t="s">
        <v>286</v>
      </c>
      <c r="F85" s="114" t="n">
        <v>1</v>
      </c>
      <c r="G85" s="154" t="n">
        <v>0</v>
      </c>
      <c r="H85" s="114">
        <f>F85*AO85</f>
      </c>
      <c r="I85" s="114">
        <f>F85*AP85</f>
      </c>
      <c r="J85" s="114">
        <f>F85*G85</f>
      </c>
      <c r="K85" s="155" t="s">
        <v>10</v>
      </c>
      <c r="Z85" s="114">
        <f>IF(AQ85="5",BJ85,0)</f>
      </c>
      <c r="AB85" s="114">
        <f>IF(AQ85="1",BH85,0)</f>
      </c>
      <c r="AC85" s="114">
        <f>IF(AQ85="1",BI85,0)</f>
      </c>
      <c r="AD85" s="114">
        <f>IF(AQ85="7",BH85,0)</f>
      </c>
      <c r="AE85" s="114">
        <f>IF(AQ85="7",BI85,0)</f>
      </c>
      <c r="AF85" s="114">
        <f>IF(AQ85="2",BH85,0)</f>
      </c>
      <c r="AG85" s="114">
        <f>IF(AQ85="2",BI85,0)</f>
      </c>
      <c r="AH85" s="114">
        <f>IF(AQ85="0",BJ85,0)</f>
      </c>
      <c r="AI85" s="133" t="s">
        <v>81</v>
      </c>
      <c r="AJ85" s="114">
        <f>IF(AN85=0,J85,0)</f>
      </c>
      <c r="AK85" s="114">
        <f>IF(AN85=12,J85,0)</f>
      </c>
      <c r="AL85" s="114">
        <f>IF(AN85=21,J85,0)</f>
      </c>
      <c r="AN85" s="114" t="n">
        <v>21</v>
      </c>
      <c r="AO85" s="114">
        <f>G85*0</f>
      </c>
      <c r="AP85" s="114">
        <f>G85*(1-0)</f>
      </c>
      <c r="AQ85" s="156" t="s">
        <v>119</v>
      </c>
      <c r="AV85" s="114">
        <f>AW85+AX85</f>
      </c>
      <c r="AW85" s="114">
        <f>F85*AO85</f>
      </c>
      <c r="AX85" s="114">
        <f>F85*AP85</f>
      </c>
      <c r="AY85" s="156" t="s">
        <v>287</v>
      </c>
      <c r="AZ85" s="156" t="s">
        <v>253</v>
      </c>
      <c r="BA85" s="133" t="s">
        <v>126</v>
      </c>
      <c r="BC85" s="114">
        <f>AW85+AX85</f>
      </c>
      <c r="BD85" s="114">
        <f>G85/(100-BE85)*100</f>
      </c>
      <c r="BE85" s="114" t="n">
        <v>0</v>
      </c>
      <c r="BF85" s="114">
        <f>85</f>
      </c>
      <c r="BH85" s="114">
        <f>F85*AO85</f>
      </c>
      <c r="BI85" s="114">
        <f>F85*AP85</f>
      </c>
      <c r="BJ85" s="114">
        <f>F85*G85</f>
      </c>
      <c r="BK85" s="114"/>
      <c r="BL85" s="114"/>
      <c r="BW85" s="114" t="n">
        <v>21</v>
      </c>
      <c r="BX85" s="14" t="s">
        <v>296</v>
      </c>
    </row>
    <row r="86">
      <c r="A86" s="9" t="s">
        <v>297</v>
      </c>
      <c r="B86" s="10" t="s">
        <v>298</v>
      </c>
      <c r="C86" s="14" t="s">
        <v>299</v>
      </c>
      <c r="D86" s="10"/>
      <c r="E86" s="10" t="s">
        <v>286</v>
      </c>
      <c r="F86" s="114" t="n">
        <v>5</v>
      </c>
      <c r="G86" s="154" t="n">
        <v>0</v>
      </c>
      <c r="H86" s="114">
        <f>F86*AO86</f>
      </c>
      <c r="I86" s="114">
        <f>F86*AP86</f>
      </c>
      <c r="J86" s="114">
        <f>F86*G86</f>
      </c>
      <c r="K86" s="155" t="s">
        <v>10</v>
      </c>
      <c r="Z86" s="114">
        <f>IF(AQ86="5",BJ86,0)</f>
      </c>
      <c r="AB86" s="114">
        <f>IF(AQ86="1",BH86,0)</f>
      </c>
      <c r="AC86" s="114">
        <f>IF(AQ86="1",BI86,0)</f>
      </c>
      <c r="AD86" s="114">
        <f>IF(AQ86="7",BH86,0)</f>
      </c>
      <c r="AE86" s="114">
        <f>IF(AQ86="7",BI86,0)</f>
      </c>
      <c r="AF86" s="114">
        <f>IF(AQ86="2",BH86,0)</f>
      </c>
      <c r="AG86" s="114">
        <f>IF(AQ86="2",BI86,0)</f>
      </c>
      <c r="AH86" s="114">
        <f>IF(AQ86="0",BJ86,0)</f>
      </c>
      <c r="AI86" s="133" t="s">
        <v>81</v>
      </c>
      <c r="AJ86" s="114">
        <f>IF(AN86=0,J86,0)</f>
      </c>
      <c r="AK86" s="114">
        <f>IF(AN86=12,J86,0)</f>
      </c>
      <c r="AL86" s="114">
        <f>IF(AN86=21,J86,0)</f>
      </c>
      <c r="AN86" s="114" t="n">
        <v>21</v>
      </c>
      <c r="AO86" s="114">
        <f>G86*0</f>
      </c>
      <c r="AP86" s="114">
        <f>G86*(1-0)</f>
      </c>
      <c r="AQ86" s="156" t="s">
        <v>119</v>
      </c>
      <c r="AV86" s="114">
        <f>AW86+AX86</f>
      </c>
      <c r="AW86" s="114">
        <f>F86*AO86</f>
      </c>
      <c r="AX86" s="114">
        <f>F86*AP86</f>
      </c>
      <c r="AY86" s="156" t="s">
        <v>287</v>
      </c>
      <c r="AZ86" s="156" t="s">
        <v>253</v>
      </c>
      <c r="BA86" s="133" t="s">
        <v>126</v>
      </c>
      <c r="BC86" s="114">
        <f>AW86+AX86</f>
      </c>
      <c r="BD86" s="114">
        <f>G86/(100-BE86)*100</f>
      </c>
      <c r="BE86" s="114" t="n">
        <v>0</v>
      </c>
      <c r="BF86" s="114">
        <f>86</f>
      </c>
      <c r="BH86" s="114">
        <f>F86*AO86</f>
      </c>
      <c r="BI86" s="114">
        <f>F86*AP86</f>
      </c>
      <c r="BJ86" s="114">
        <f>F86*G86</f>
      </c>
      <c r="BK86" s="114"/>
      <c r="BL86" s="114"/>
      <c r="BW86" s="114" t="n">
        <v>21</v>
      </c>
      <c r="BX86" s="14" t="s">
        <v>299</v>
      </c>
    </row>
    <row r="87">
      <c r="A87" s="9" t="s">
        <v>300</v>
      </c>
      <c r="B87" s="10" t="s">
        <v>301</v>
      </c>
      <c r="C87" s="14" t="s">
        <v>302</v>
      </c>
      <c r="D87" s="10"/>
      <c r="E87" s="10" t="s">
        <v>303</v>
      </c>
      <c r="F87" s="114" t="n">
        <v>2</v>
      </c>
      <c r="G87" s="154" t="n">
        <v>0</v>
      </c>
      <c r="H87" s="114">
        <f>F87*AO87</f>
      </c>
      <c r="I87" s="114">
        <f>F87*AP87</f>
      </c>
      <c r="J87" s="114">
        <f>F87*G87</f>
      </c>
      <c r="K87" s="155" t="s">
        <v>10</v>
      </c>
      <c r="Z87" s="114">
        <f>IF(AQ87="5",BJ87,0)</f>
      </c>
      <c r="AB87" s="114">
        <f>IF(AQ87="1",BH87,0)</f>
      </c>
      <c r="AC87" s="114">
        <f>IF(AQ87="1",BI87,0)</f>
      </c>
      <c r="AD87" s="114">
        <f>IF(AQ87="7",BH87,0)</f>
      </c>
      <c r="AE87" s="114">
        <f>IF(AQ87="7",BI87,0)</f>
      </c>
      <c r="AF87" s="114">
        <f>IF(AQ87="2",BH87,0)</f>
      </c>
      <c r="AG87" s="114">
        <f>IF(AQ87="2",BI87,0)</f>
      </c>
      <c r="AH87" s="114">
        <f>IF(AQ87="0",BJ87,0)</f>
      </c>
      <c r="AI87" s="133" t="s">
        <v>81</v>
      </c>
      <c r="AJ87" s="114">
        <f>IF(AN87=0,J87,0)</f>
      </c>
      <c r="AK87" s="114">
        <f>IF(AN87=12,J87,0)</f>
      </c>
      <c r="AL87" s="114">
        <f>IF(AN87=21,J87,0)</f>
      </c>
      <c r="AN87" s="114" t="n">
        <v>21</v>
      </c>
      <c r="AO87" s="114">
        <f>G87*0</f>
      </c>
      <c r="AP87" s="114">
        <f>G87*(1-0)</f>
      </c>
      <c r="AQ87" s="156" t="s">
        <v>119</v>
      </c>
      <c r="AV87" s="114">
        <f>AW87+AX87</f>
      </c>
      <c r="AW87" s="114">
        <f>F87*AO87</f>
      </c>
      <c r="AX87" s="114">
        <f>F87*AP87</f>
      </c>
      <c r="AY87" s="156" t="s">
        <v>287</v>
      </c>
      <c r="AZ87" s="156" t="s">
        <v>253</v>
      </c>
      <c r="BA87" s="133" t="s">
        <v>126</v>
      </c>
      <c r="BC87" s="114">
        <f>AW87+AX87</f>
      </c>
      <c r="BD87" s="114">
        <f>G87/(100-BE87)*100</f>
      </c>
      <c r="BE87" s="114" t="n">
        <v>0</v>
      </c>
      <c r="BF87" s="114">
        <f>87</f>
      </c>
      <c r="BH87" s="114">
        <f>F87*AO87</f>
      </c>
      <c r="BI87" s="114">
        <f>F87*AP87</f>
      </c>
      <c r="BJ87" s="114">
        <f>F87*G87</f>
      </c>
      <c r="BK87" s="114"/>
      <c r="BL87" s="114"/>
      <c r="BW87" s="114" t="n">
        <v>21</v>
      </c>
      <c r="BX87" s="14" t="s">
        <v>302</v>
      </c>
    </row>
    <row r="88">
      <c r="A88" s="9" t="s">
        <v>304</v>
      </c>
      <c r="B88" s="10" t="s">
        <v>305</v>
      </c>
      <c r="C88" s="14" t="s">
        <v>306</v>
      </c>
      <c r="D88" s="10"/>
      <c r="E88" s="10" t="s">
        <v>286</v>
      </c>
      <c r="F88" s="114" t="n">
        <v>1</v>
      </c>
      <c r="G88" s="154" t="n">
        <v>0</v>
      </c>
      <c r="H88" s="114">
        <f>F88*AO88</f>
      </c>
      <c r="I88" s="114">
        <f>F88*AP88</f>
      </c>
      <c r="J88" s="114">
        <f>F88*G88</f>
      </c>
      <c r="K88" s="155" t="s">
        <v>10</v>
      </c>
      <c r="Z88" s="114">
        <f>IF(AQ88="5",BJ88,0)</f>
      </c>
      <c r="AB88" s="114">
        <f>IF(AQ88="1",BH88,0)</f>
      </c>
      <c r="AC88" s="114">
        <f>IF(AQ88="1",BI88,0)</f>
      </c>
      <c r="AD88" s="114">
        <f>IF(AQ88="7",BH88,0)</f>
      </c>
      <c r="AE88" s="114">
        <f>IF(AQ88="7",BI88,0)</f>
      </c>
      <c r="AF88" s="114">
        <f>IF(AQ88="2",BH88,0)</f>
      </c>
      <c r="AG88" s="114">
        <f>IF(AQ88="2",BI88,0)</f>
      </c>
      <c r="AH88" s="114">
        <f>IF(AQ88="0",BJ88,0)</f>
      </c>
      <c r="AI88" s="133" t="s">
        <v>81</v>
      </c>
      <c r="AJ88" s="114">
        <f>IF(AN88=0,J88,0)</f>
      </c>
      <c r="AK88" s="114">
        <f>IF(AN88=12,J88,0)</f>
      </c>
      <c r="AL88" s="114">
        <f>IF(AN88=21,J88,0)</f>
      </c>
      <c r="AN88" s="114" t="n">
        <v>21</v>
      </c>
      <c r="AO88" s="114">
        <f>G88*0</f>
      </c>
      <c r="AP88" s="114">
        <f>G88*(1-0)</f>
      </c>
      <c r="AQ88" s="156" t="s">
        <v>119</v>
      </c>
      <c r="AV88" s="114">
        <f>AW88+AX88</f>
      </c>
      <c r="AW88" s="114">
        <f>F88*AO88</f>
      </c>
      <c r="AX88" s="114">
        <f>F88*AP88</f>
      </c>
      <c r="AY88" s="156" t="s">
        <v>287</v>
      </c>
      <c r="AZ88" s="156" t="s">
        <v>253</v>
      </c>
      <c r="BA88" s="133" t="s">
        <v>126</v>
      </c>
      <c r="BC88" s="114">
        <f>AW88+AX88</f>
      </c>
      <c r="BD88" s="114">
        <f>G88/(100-BE88)*100</f>
      </c>
      <c r="BE88" s="114" t="n">
        <v>0</v>
      </c>
      <c r="BF88" s="114">
        <f>88</f>
      </c>
      <c r="BH88" s="114">
        <f>F88*AO88</f>
      </c>
      <c r="BI88" s="114">
        <f>F88*AP88</f>
      </c>
      <c r="BJ88" s="114">
        <f>F88*G88</f>
      </c>
      <c r="BK88" s="114"/>
      <c r="BL88" s="114"/>
      <c r="BW88" s="114" t="n">
        <v>21</v>
      </c>
      <c r="BX88" s="14" t="s">
        <v>306</v>
      </c>
    </row>
    <row r="89">
      <c r="A89" s="148" t="s">
        <v>10</v>
      </c>
      <c r="B89" s="149" t="s">
        <v>307</v>
      </c>
      <c r="C89" s="150" t="s">
        <v>38</v>
      </c>
      <c r="D89" s="149"/>
      <c r="E89" s="151" t="s">
        <v>74</v>
      </c>
      <c r="F89" s="151" t="s">
        <v>74</v>
      </c>
      <c r="G89" s="152" t="s">
        <v>74</v>
      </c>
      <c r="H89" s="120">
        <f>SUM(H90:H91)</f>
      </c>
      <c r="I89" s="120">
        <f>SUM(I90:I91)</f>
      </c>
      <c r="J89" s="120">
        <f>SUM(J90:J91)</f>
      </c>
      <c r="K89" s="153" t="s">
        <v>10</v>
      </c>
      <c r="AI89" s="133" t="s">
        <v>81</v>
      </c>
      <c r="AS89" s="120">
        <f>SUM(AJ90:AJ91)</f>
      </c>
      <c r="AT89" s="120">
        <f>SUM(AK90:AK91)</f>
      </c>
      <c r="AU89" s="120">
        <f>SUM(AL90:AL91)</f>
      </c>
    </row>
    <row r="90">
      <c r="A90" s="9" t="s">
        <v>308</v>
      </c>
      <c r="B90" s="10" t="s">
        <v>309</v>
      </c>
      <c r="C90" s="14" t="s">
        <v>310</v>
      </c>
      <c r="D90" s="10"/>
      <c r="E90" s="10" t="s">
        <v>311</v>
      </c>
      <c r="F90" s="114" t="n">
        <v>8</v>
      </c>
      <c r="G90" s="154" t="n">
        <v>0</v>
      </c>
      <c r="H90" s="114">
        <f>F90*AO90</f>
      </c>
      <c r="I90" s="114">
        <f>F90*AP90</f>
      </c>
      <c r="J90" s="114">
        <f>F90*G90</f>
      </c>
      <c r="K90" s="155" t="s">
        <v>167</v>
      </c>
      <c r="Z90" s="114">
        <f>IF(AQ90="5",BJ90,0)</f>
      </c>
      <c r="AB90" s="114">
        <f>IF(AQ90="1",BH90,0)</f>
      </c>
      <c r="AC90" s="114">
        <f>IF(AQ90="1",BI90,0)</f>
      </c>
      <c r="AD90" s="114">
        <f>IF(AQ90="7",BH90,0)</f>
      </c>
      <c r="AE90" s="114">
        <f>IF(AQ90="7",BI90,0)</f>
      </c>
      <c r="AF90" s="114">
        <f>IF(AQ90="2",BH90,0)</f>
      </c>
      <c r="AG90" s="114">
        <f>IF(AQ90="2",BI90,0)</f>
      </c>
      <c r="AH90" s="114">
        <f>IF(AQ90="0",BJ90,0)</f>
      </c>
      <c r="AI90" s="133" t="s">
        <v>81</v>
      </c>
      <c r="AJ90" s="114">
        <f>IF(AN90=0,J90,0)</f>
      </c>
      <c r="AK90" s="114">
        <f>IF(AN90=12,J90,0)</f>
      </c>
      <c r="AL90" s="114">
        <f>IF(AN90=21,J90,0)</f>
      </c>
      <c r="AN90" s="114" t="n">
        <v>21</v>
      </c>
      <c r="AO90" s="114">
        <f>G90*1</f>
      </c>
      <c r="AP90" s="114">
        <f>G90*(1-1)</f>
      </c>
      <c r="AQ90" s="156" t="s">
        <v>312</v>
      </c>
      <c r="AV90" s="114">
        <f>AW90+AX90</f>
      </c>
      <c r="AW90" s="114">
        <f>F90*AO90</f>
      </c>
      <c r="AX90" s="114">
        <f>F90*AP90</f>
      </c>
      <c r="AY90" s="156" t="s">
        <v>313</v>
      </c>
      <c r="AZ90" s="156" t="s">
        <v>314</v>
      </c>
      <c r="BA90" s="133" t="s">
        <v>126</v>
      </c>
      <c r="BC90" s="114">
        <f>AW90+AX90</f>
      </c>
      <c r="BD90" s="114">
        <f>G90/(100-BE90)*100</f>
      </c>
      <c r="BE90" s="114" t="n">
        <v>0</v>
      </c>
      <c r="BF90" s="114">
        <f>90</f>
      </c>
      <c r="BH90" s="114">
        <f>F90*AO90</f>
      </c>
      <c r="BI90" s="114">
        <f>F90*AP90</f>
      </c>
      <c r="BJ90" s="114">
        <f>F90*G90</f>
      </c>
      <c r="BK90" s="114"/>
      <c r="BL90" s="114"/>
      <c r="BW90" s="114" t="n">
        <v>21</v>
      </c>
      <c r="BX90" s="14" t="s">
        <v>310</v>
      </c>
    </row>
    <row r="91">
      <c r="A91" s="9" t="s">
        <v>315</v>
      </c>
      <c r="B91" s="10" t="s">
        <v>316</v>
      </c>
      <c r="C91" s="14" t="s">
        <v>317</v>
      </c>
      <c r="D91" s="10"/>
      <c r="E91" s="10" t="s">
        <v>286</v>
      </c>
      <c r="F91" s="114" t="n">
        <v>1</v>
      </c>
      <c r="G91" s="154" t="n">
        <v>0</v>
      </c>
      <c r="H91" s="114">
        <f>F91*AO91</f>
      </c>
      <c r="I91" s="114">
        <f>F91*AP91</f>
      </c>
      <c r="J91" s="114">
        <f>F91*G91</f>
      </c>
      <c r="K91" s="155" t="s">
        <v>10</v>
      </c>
      <c r="Z91" s="114">
        <f>IF(AQ91="5",BJ91,0)</f>
      </c>
      <c r="AB91" s="114">
        <f>IF(AQ91="1",BH91,0)</f>
      </c>
      <c r="AC91" s="114">
        <f>IF(AQ91="1",BI91,0)</f>
      </c>
      <c r="AD91" s="114">
        <f>IF(AQ91="7",BH91,0)</f>
      </c>
      <c r="AE91" s="114">
        <f>IF(AQ91="7",BI91,0)</f>
      </c>
      <c r="AF91" s="114">
        <f>IF(AQ91="2",BH91,0)</f>
      </c>
      <c r="AG91" s="114">
        <f>IF(AQ91="2",BI91,0)</f>
      </c>
      <c r="AH91" s="114">
        <f>IF(AQ91="0",BJ91,0)</f>
      </c>
      <c r="AI91" s="133" t="s">
        <v>81</v>
      </c>
      <c r="AJ91" s="114">
        <f>IF(AN91=0,J91,0)</f>
      </c>
      <c r="AK91" s="114">
        <f>IF(AN91=12,J91,0)</f>
      </c>
      <c r="AL91" s="114">
        <f>IF(AN91=21,J91,0)</f>
      </c>
      <c r="AN91" s="114" t="n">
        <v>21</v>
      </c>
      <c r="AO91" s="114">
        <f>G91*1</f>
      </c>
      <c r="AP91" s="114">
        <f>G91*(1-1)</f>
      </c>
      <c r="AQ91" s="156" t="s">
        <v>312</v>
      </c>
      <c r="AV91" s="114">
        <f>AW91+AX91</f>
      </c>
      <c r="AW91" s="114">
        <f>F91*AO91</f>
      </c>
      <c r="AX91" s="114">
        <f>F91*AP91</f>
      </c>
      <c r="AY91" s="156" t="s">
        <v>313</v>
      </c>
      <c r="AZ91" s="156" t="s">
        <v>314</v>
      </c>
      <c r="BA91" s="133" t="s">
        <v>126</v>
      </c>
      <c r="BC91" s="114">
        <f>AW91+AX91</f>
      </c>
      <c r="BD91" s="114">
        <f>G91/(100-BE91)*100</f>
      </c>
      <c r="BE91" s="114" t="n">
        <v>0</v>
      </c>
      <c r="BF91" s="114">
        <f>91</f>
      </c>
      <c r="BH91" s="114">
        <f>F91*AO91</f>
      </c>
      <c r="BI91" s="114">
        <f>F91*AP91</f>
      </c>
      <c r="BJ91" s="114">
        <f>F91*G91</f>
      </c>
      <c r="BK91" s="114"/>
      <c r="BL91" s="114"/>
      <c r="BW91" s="114" t="n">
        <v>21</v>
      </c>
      <c r="BX91" s="14" t="s">
        <v>317</v>
      </c>
    </row>
    <row r="92">
      <c r="A92" s="148" t="s">
        <v>10</v>
      </c>
      <c r="B92" s="149" t="s">
        <v>10</v>
      </c>
      <c r="C92" s="150" t="s">
        <v>82</v>
      </c>
      <c r="D92" s="149"/>
      <c r="E92" s="151" t="s">
        <v>74</v>
      </c>
      <c r="F92" s="151" t="s">
        <v>74</v>
      </c>
      <c r="G92" s="152" t="s">
        <v>74</v>
      </c>
      <c r="H92" s="120">
        <f>H93+H95+H101</f>
      </c>
      <c r="I92" s="120">
        <f>I93+I95+I101</f>
      </c>
      <c r="J92" s="120">
        <f>J93+J95+J101</f>
      </c>
      <c r="K92" s="153" t="s">
        <v>10</v>
      </c>
    </row>
    <row r="93">
      <c r="A93" s="148" t="s">
        <v>10</v>
      </c>
      <c r="B93" s="149" t="s">
        <v>117</v>
      </c>
      <c r="C93" s="150" t="s">
        <v>118</v>
      </c>
      <c r="D93" s="149"/>
      <c r="E93" s="151" t="s">
        <v>74</v>
      </c>
      <c r="F93" s="151" t="s">
        <v>74</v>
      </c>
      <c r="G93" s="152" t="s">
        <v>74</v>
      </c>
      <c r="H93" s="120">
        <f>SUM(H94:H94)</f>
      </c>
      <c r="I93" s="120">
        <f>SUM(I94:I94)</f>
      </c>
      <c r="J93" s="120">
        <f>SUM(J94:J94)</f>
      </c>
      <c r="K93" s="153" t="s">
        <v>10</v>
      </c>
      <c r="AI93" s="133" t="s">
        <v>83</v>
      </c>
      <c r="AS93" s="120">
        <f>SUM(AJ94:AJ94)</f>
      </c>
      <c r="AT93" s="120">
        <f>SUM(AK94:AK94)</f>
      </c>
      <c r="AU93" s="120">
        <f>SUM(AL94:AL94)</f>
      </c>
    </row>
    <row r="94">
      <c r="A94" s="9" t="s">
        <v>318</v>
      </c>
      <c r="B94" s="10" t="s">
        <v>120</v>
      </c>
      <c r="C94" s="14" t="s">
        <v>121</v>
      </c>
      <c r="D94" s="10"/>
      <c r="E94" s="10" t="s">
        <v>122</v>
      </c>
      <c r="F94" s="114" t="n">
        <v>51.129</v>
      </c>
      <c r="G94" s="154" t="n">
        <v>0</v>
      </c>
      <c r="H94" s="114">
        <f>F94*AO94</f>
      </c>
      <c r="I94" s="114">
        <f>F94*AP94</f>
      </c>
      <c r="J94" s="114">
        <f>F94*G94</f>
      </c>
      <c r="K94" s="155" t="s">
        <v>123</v>
      </c>
      <c r="Z94" s="114">
        <f>IF(AQ94="5",BJ94,0)</f>
      </c>
      <c r="AB94" s="114">
        <f>IF(AQ94="1",BH94,0)</f>
      </c>
      <c r="AC94" s="114">
        <f>IF(AQ94="1",BI94,0)</f>
      </c>
      <c r="AD94" s="114">
        <f>IF(AQ94="7",BH94,0)</f>
      </c>
      <c r="AE94" s="114">
        <f>IF(AQ94="7",BI94,0)</f>
      </c>
      <c r="AF94" s="114">
        <f>IF(AQ94="2",BH94,0)</f>
      </c>
      <c r="AG94" s="114">
        <f>IF(AQ94="2",BI94,0)</f>
      </c>
      <c r="AH94" s="114">
        <f>IF(AQ94="0",BJ94,0)</f>
      </c>
      <c r="AI94" s="133" t="s">
        <v>83</v>
      </c>
      <c r="AJ94" s="114">
        <f>IF(AN94=0,J94,0)</f>
      </c>
      <c r="AK94" s="114">
        <f>IF(AN94=12,J94,0)</f>
      </c>
      <c r="AL94" s="114">
        <f>IF(AN94=21,J94,0)</f>
      </c>
      <c r="AN94" s="114" t="n">
        <v>21</v>
      </c>
      <c r="AO94" s="114">
        <f>G94*0</f>
      </c>
      <c r="AP94" s="114">
        <f>G94*(1-0)</f>
      </c>
      <c r="AQ94" s="156" t="s">
        <v>119</v>
      </c>
      <c r="AV94" s="114">
        <f>AW94+AX94</f>
      </c>
      <c r="AW94" s="114">
        <f>F94*AO94</f>
      </c>
      <c r="AX94" s="114">
        <f>F94*AP94</f>
      </c>
      <c r="AY94" s="156" t="s">
        <v>124</v>
      </c>
      <c r="AZ94" s="156" t="s">
        <v>319</v>
      </c>
      <c r="BA94" s="133" t="s">
        <v>320</v>
      </c>
      <c r="BC94" s="114">
        <f>AW94+AX94</f>
      </c>
      <c r="BD94" s="114">
        <f>G94/(100-BE94)*100</f>
      </c>
      <c r="BE94" s="114" t="n">
        <v>0</v>
      </c>
      <c r="BF94" s="114">
        <f>94</f>
      </c>
      <c r="BH94" s="114">
        <f>F94*AO94</f>
      </c>
      <c r="BI94" s="114">
        <f>F94*AP94</f>
      </c>
      <c r="BJ94" s="114">
        <f>F94*G94</f>
      </c>
      <c r="BK94" s="114"/>
      <c r="BL94" s="114" t="n">
        <v>12</v>
      </c>
      <c r="BW94" s="114" t="n">
        <v>21</v>
      </c>
      <c r="BX94" s="14" t="s">
        <v>121</v>
      </c>
    </row>
    <row r="95">
      <c r="A95" s="148" t="s">
        <v>10</v>
      </c>
      <c r="B95" s="149" t="s">
        <v>153</v>
      </c>
      <c r="C95" s="150" t="s">
        <v>154</v>
      </c>
      <c r="D95" s="149"/>
      <c r="E95" s="151" t="s">
        <v>74</v>
      </c>
      <c r="F95" s="151" t="s">
        <v>74</v>
      </c>
      <c r="G95" s="152" t="s">
        <v>74</v>
      </c>
      <c r="H95" s="120">
        <f>SUM(H96:H100)</f>
      </c>
      <c r="I95" s="120">
        <f>SUM(I96:I100)</f>
      </c>
      <c r="J95" s="120">
        <f>SUM(J96:J100)</f>
      </c>
      <c r="K95" s="153" t="s">
        <v>10</v>
      </c>
      <c r="AI95" s="133" t="s">
        <v>83</v>
      </c>
      <c r="AS95" s="120">
        <f>SUM(AJ96:AJ100)</f>
      </c>
      <c r="AT95" s="120">
        <f>SUM(AK96:AK100)</f>
      </c>
      <c r="AU95" s="120">
        <f>SUM(AL96:AL100)</f>
      </c>
    </row>
    <row r="96">
      <c r="A96" s="9" t="s">
        <v>321</v>
      </c>
      <c r="B96" s="10" t="s">
        <v>156</v>
      </c>
      <c r="C96" s="14" t="s">
        <v>157</v>
      </c>
      <c r="D96" s="10"/>
      <c r="E96" s="10" t="s">
        <v>158</v>
      </c>
      <c r="F96" s="114" t="n">
        <v>340.86</v>
      </c>
      <c r="G96" s="154" t="n">
        <v>0</v>
      </c>
      <c r="H96" s="114">
        <f>F96*AO96</f>
      </c>
      <c r="I96" s="114">
        <f>F96*AP96</f>
      </c>
      <c r="J96" s="114">
        <f>F96*G96</f>
      </c>
      <c r="K96" s="155" t="s">
        <v>123</v>
      </c>
      <c r="Z96" s="114">
        <f>IF(AQ96="5",BJ96,0)</f>
      </c>
      <c r="AB96" s="114">
        <f>IF(AQ96="1",BH96,0)</f>
      </c>
      <c r="AC96" s="114">
        <f>IF(AQ96="1",BI96,0)</f>
      </c>
      <c r="AD96" s="114">
        <f>IF(AQ96="7",BH96,0)</f>
      </c>
      <c r="AE96" s="114">
        <f>IF(AQ96="7",BI96,0)</f>
      </c>
      <c r="AF96" s="114">
        <f>IF(AQ96="2",BH96,0)</f>
      </c>
      <c r="AG96" s="114">
        <f>IF(AQ96="2",BI96,0)</f>
      </c>
      <c r="AH96" s="114">
        <f>IF(AQ96="0",BJ96,0)</f>
      </c>
      <c r="AI96" s="133" t="s">
        <v>83</v>
      </c>
      <c r="AJ96" s="114">
        <f>IF(AN96=0,J96,0)</f>
      </c>
      <c r="AK96" s="114">
        <f>IF(AN96=12,J96,0)</f>
      </c>
      <c r="AL96" s="114">
        <f>IF(AN96=21,J96,0)</f>
      </c>
      <c r="AN96" s="114" t="n">
        <v>21</v>
      </c>
      <c r="AO96" s="114">
        <f>G96*0</f>
      </c>
      <c r="AP96" s="114">
        <f>G96*(1-0)</f>
      </c>
      <c r="AQ96" s="156" t="s">
        <v>119</v>
      </c>
      <c r="AV96" s="114">
        <f>AW96+AX96</f>
      </c>
      <c r="AW96" s="114">
        <f>F96*AO96</f>
      </c>
      <c r="AX96" s="114">
        <f>F96*AP96</f>
      </c>
      <c r="AY96" s="156" t="s">
        <v>159</v>
      </c>
      <c r="AZ96" s="156" t="s">
        <v>319</v>
      </c>
      <c r="BA96" s="133" t="s">
        <v>320</v>
      </c>
      <c r="BC96" s="114">
        <f>AW96+AX96</f>
      </c>
      <c r="BD96" s="114">
        <f>G96/(100-BE96)*100</f>
      </c>
      <c r="BE96" s="114" t="n">
        <v>0</v>
      </c>
      <c r="BF96" s="114">
        <f>96</f>
      </c>
      <c r="BH96" s="114">
        <f>F96*AO96</f>
      </c>
      <c r="BI96" s="114">
        <f>F96*AP96</f>
      </c>
      <c r="BJ96" s="114">
        <f>F96*G96</f>
      </c>
      <c r="BK96" s="114"/>
      <c r="BL96" s="114" t="n">
        <v>18</v>
      </c>
      <c r="BW96" s="114" t="n">
        <v>21</v>
      </c>
      <c r="BX96" s="14" t="s">
        <v>157</v>
      </c>
    </row>
    <row r="97">
      <c r="A97" s="9" t="s">
        <v>322</v>
      </c>
      <c r="B97" s="10" t="s">
        <v>187</v>
      </c>
      <c r="C97" s="14" t="s">
        <v>188</v>
      </c>
      <c r="D97" s="10"/>
      <c r="E97" s="10" t="s">
        <v>158</v>
      </c>
      <c r="F97" s="114" t="n">
        <v>89.7</v>
      </c>
      <c r="G97" s="154" t="n">
        <v>0</v>
      </c>
      <c r="H97" s="114">
        <f>F97*AO97</f>
      </c>
      <c r="I97" s="114">
        <f>F97*AP97</f>
      </c>
      <c r="J97" s="114">
        <f>F97*G97</f>
      </c>
      <c r="K97" s="155" t="s">
        <v>123</v>
      </c>
      <c r="Z97" s="114">
        <f>IF(AQ97="5",BJ97,0)</f>
      </c>
      <c r="AB97" s="114">
        <f>IF(AQ97="1",BH97,0)</f>
      </c>
      <c r="AC97" s="114">
        <f>IF(AQ97="1",BI97,0)</f>
      </c>
      <c r="AD97" s="114">
        <f>IF(AQ97="7",BH97,0)</f>
      </c>
      <c r="AE97" s="114">
        <f>IF(AQ97="7",BI97,0)</f>
      </c>
      <c r="AF97" s="114">
        <f>IF(AQ97="2",BH97,0)</f>
      </c>
      <c r="AG97" s="114">
        <f>IF(AQ97="2",BI97,0)</f>
      </c>
      <c r="AH97" s="114">
        <f>IF(AQ97="0",BJ97,0)</f>
      </c>
      <c r="AI97" s="133" t="s">
        <v>83</v>
      </c>
      <c r="AJ97" s="114">
        <f>IF(AN97=0,J97,0)</f>
      </c>
      <c r="AK97" s="114">
        <f>IF(AN97=12,J97,0)</f>
      </c>
      <c r="AL97" s="114">
        <f>IF(AN97=21,J97,0)</f>
      </c>
      <c r="AN97" s="114" t="n">
        <v>21</v>
      </c>
      <c r="AO97" s="114">
        <f>G97*0</f>
      </c>
      <c r="AP97" s="114">
        <f>G97*(1-0)</f>
      </c>
      <c r="AQ97" s="156" t="s">
        <v>119</v>
      </c>
      <c r="AV97" s="114">
        <f>AW97+AX97</f>
      </c>
      <c r="AW97" s="114">
        <f>F97*AO97</f>
      </c>
      <c r="AX97" s="114">
        <f>F97*AP97</f>
      </c>
      <c r="AY97" s="156" t="s">
        <v>159</v>
      </c>
      <c r="AZ97" s="156" t="s">
        <v>319</v>
      </c>
      <c r="BA97" s="133" t="s">
        <v>320</v>
      </c>
      <c r="BC97" s="114">
        <f>AW97+AX97</f>
      </c>
      <c r="BD97" s="114">
        <f>G97/(100-BE97)*100</f>
      </c>
      <c r="BE97" s="114" t="n">
        <v>0</v>
      </c>
      <c r="BF97" s="114">
        <f>97</f>
      </c>
      <c r="BH97" s="114">
        <f>F97*AO97</f>
      </c>
      <c r="BI97" s="114">
        <f>F97*AP97</f>
      </c>
      <c r="BJ97" s="114">
        <f>F97*G97</f>
      </c>
      <c r="BK97" s="114"/>
      <c r="BL97" s="114" t="n">
        <v>18</v>
      </c>
      <c r="BW97" s="114" t="n">
        <v>21</v>
      </c>
      <c r="BX97" s="14" t="s">
        <v>188</v>
      </c>
    </row>
    <row r="98">
      <c r="A98" s="9" t="s">
        <v>323</v>
      </c>
      <c r="B98" s="10" t="s">
        <v>189</v>
      </c>
      <c r="C98" s="14" t="s">
        <v>190</v>
      </c>
      <c r="D98" s="10"/>
      <c r="E98" s="10" t="s">
        <v>158</v>
      </c>
      <c r="F98" s="114" t="n">
        <v>170.43</v>
      </c>
      <c r="G98" s="154" t="n">
        <v>0</v>
      </c>
      <c r="H98" s="114">
        <f>F98*AO98</f>
      </c>
      <c r="I98" s="114">
        <f>F98*AP98</f>
      </c>
      <c r="J98" s="114">
        <f>F98*G98</f>
      </c>
      <c r="K98" s="155" t="s">
        <v>123</v>
      </c>
      <c r="Z98" s="114">
        <f>IF(AQ98="5",BJ98,0)</f>
      </c>
      <c r="AB98" s="114">
        <f>IF(AQ98="1",BH98,0)</f>
      </c>
      <c r="AC98" s="114">
        <f>IF(AQ98="1",BI98,0)</f>
      </c>
      <c r="AD98" s="114">
        <f>IF(AQ98="7",BH98,0)</f>
      </c>
      <c r="AE98" s="114">
        <f>IF(AQ98="7",BI98,0)</f>
      </c>
      <c r="AF98" s="114">
        <f>IF(AQ98="2",BH98,0)</f>
      </c>
      <c r="AG98" s="114">
        <f>IF(AQ98="2",BI98,0)</f>
      </c>
      <c r="AH98" s="114">
        <f>IF(AQ98="0",BJ98,0)</f>
      </c>
      <c r="AI98" s="133" t="s">
        <v>83</v>
      </c>
      <c r="AJ98" s="114">
        <f>IF(AN98=0,J98,0)</f>
      </c>
      <c r="AK98" s="114">
        <f>IF(AN98=12,J98,0)</f>
      </c>
      <c r="AL98" s="114">
        <f>IF(AN98=21,J98,0)</f>
      </c>
      <c r="AN98" s="114" t="n">
        <v>21</v>
      </c>
      <c r="AO98" s="114">
        <f>G98*0.280093425</f>
      </c>
      <c r="AP98" s="114">
        <f>G98*(1-0.280093425)</f>
      </c>
      <c r="AQ98" s="156" t="s">
        <v>119</v>
      </c>
      <c r="AV98" s="114">
        <f>AW98+AX98</f>
      </c>
      <c r="AW98" s="114">
        <f>F98*AO98</f>
      </c>
      <c r="AX98" s="114">
        <f>F98*AP98</f>
      </c>
      <c r="AY98" s="156" t="s">
        <v>159</v>
      </c>
      <c r="AZ98" s="156" t="s">
        <v>319</v>
      </c>
      <c r="BA98" s="133" t="s">
        <v>320</v>
      </c>
      <c r="BC98" s="114">
        <f>AW98+AX98</f>
      </c>
      <c r="BD98" s="114">
        <f>G98/(100-BE98)*100</f>
      </c>
      <c r="BE98" s="114" t="n">
        <v>0</v>
      </c>
      <c r="BF98" s="114">
        <f>98</f>
      </c>
      <c r="BH98" s="114">
        <f>F98*AO98</f>
      </c>
      <c r="BI98" s="114">
        <f>F98*AP98</f>
      </c>
      <c r="BJ98" s="114">
        <f>F98*G98</f>
      </c>
      <c r="BK98" s="114"/>
      <c r="BL98" s="114" t="n">
        <v>18</v>
      </c>
      <c r="BW98" s="114" t="n">
        <v>21</v>
      </c>
      <c r="BX98" s="14" t="s">
        <v>190</v>
      </c>
    </row>
    <row r="99">
      <c r="A99" s="9" t="s">
        <v>324</v>
      </c>
      <c r="B99" s="10" t="s">
        <v>191</v>
      </c>
      <c r="C99" s="14" t="s">
        <v>192</v>
      </c>
      <c r="D99" s="10"/>
      <c r="E99" s="10" t="s">
        <v>158</v>
      </c>
      <c r="F99" s="114" t="n">
        <v>170.43</v>
      </c>
      <c r="G99" s="154" t="n">
        <v>0</v>
      </c>
      <c r="H99" s="114">
        <f>F99*AO99</f>
      </c>
      <c r="I99" s="114">
        <f>F99*AP99</f>
      </c>
      <c r="J99" s="114">
        <f>F99*G99</f>
      </c>
      <c r="K99" s="155" t="s">
        <v>123</v>
      </c>
      <c r="Z99" s="114">
        <f>IF(AQ99="5",BJ99,0)</f>
      </c>
      <c r="AB99" s="114">
        <f>IF(AQ99="1",BH99,0)</f>
      </c>
      <c r="AC99" s="114">
        <f>IF(AQ99="1",BI99,0)</f>
      </c>
      <c r="AD99" s="114">
        <f>IF(AQ99="7",BH99,0)</f>
      </c>
      <c r="AE99" s="114">
        <f>IF(AQ99="7",BI99,0)</f>
      </c>
      <c r="AF99" s="114">
        <f>IF(AQ99="2",BH99,0)</f>
      </c>
      <c r="AG99" s="114">
        <f>IF(AQ99="2",BI99,0)</f>
      </c>
      <c r="AH99" s="114">
        <f>IF(AQ99="0",BJ99,0)</f>
      </c>
      <c r="AI99" s="133" t="s">
        <v>83</v>
      </c>
      <c r="AJ99" s="114">
        <f>IF(AN99=0,J99,0)</f>
      </c>
      <c r="AK99" s="114">
        <f>IF(AN99=12,J99,0)</f>
      </c>
      <c r="AL99" s="114">
        <f>IF(AN99=21,J99,0)</f>
      </c>
      <c r="AN99" s="114" t="n">
        <v>21</v>
      </c>
      <c r="AO99" s="114">
        <f>G99*0</f>
      </c>
      <c r="AP99" s="114">
        <f>G99*(1-0)</f>
      </c>
      <c r="AQ99" s="156" t="s">
        <v>119</v>
      </c>
      <c r="AV99" s="114">
        <f>AW99+AX99</f>
      </c>
      <c r="AW99" s="114">
        <f>F99*AO99</f>
      </c>
      <c r="AX99" s="114">
        <f>F99*AP99</f>
      </c>
      <c r="AY99" s="156" t="s">
        <v>159</v>
      </c>
      <c r="AZ99" s="156" t="s">
        <v>319</v>
      </c>
      <c r="BA99" s="133" t="s">
        <v>320</v>
      </c>
      <c r="BC99" s="114">
        <f>AW99+AX99</f>
      </c>
      <c r="BD99" s="114">
        <f>G99/(100-BE99)*100</f>
      </c>
      <c r="BE99" s="114" t="n">
        <v>0</v>
      </c>
      <c r="BF99" s="114">
        <f>99</f>
      </c>
      <c r="BH99" s="114">
        <f>F99*AO99</f>
      </c>
      <c r="BI99" s="114">
        <f>F99*AP99</f>
      </c>
      <c r="BJ99" s="114">
        <f>F99*G99</f>
      </c>
      <c r="BK99" s="114"/>
      <c r="BL99" s="114" t="n">
        <v>18</v>
      </c>
      <c r="BW99" s="114" t="n">
        <v>21</v>
      </c>
      <c r="BX99" s="14" t="s">
        <v>192</v>
      </c>
    </row>
    <row r="100">
      <c r="A100" s="9" t="s">
        <v>325</v>
      </c>
      <c r="B100" s="10" t="s">
        <v>194</v>
      </c>
      <c r="C100" s="14" t="s">
        <v>195</v>
      </c>
      <c r="D100" s="10"/>
      <c r="E100" s="10" t="s">
        <v>122</v>
      </c>
      <c r="F100" s="114" t="n">
        <v>5.1129</v>
      </c>
      <c r="G100" s="154" t="n">
        <v>0</v>
      </c>
      <c r="H100" s="114">
        <f>F100*AO100</f>
      </c>
      <c r="I100" s="114">
        <f>F100*AP100</f>
      </c>
      <c r="J100" s="114">
        <f>F100*G100</f>
      </c>
      <c r="K100" s="155" t="s">
        <v>123</v>
      </c>
      <c r="Z100" s="114">
        <f>IF(AQ100="5",BJ100,0)</f>
      </c>
      <c r="AB100" s="114">
        <f>IF(AQ100="1",BH100,0)</f>
      </c>
      <c r="AC100" s="114">
        <f>IF(AQ100="1",BI100,0)</f>
      </c>
      <c r="AD100" s="114">
        <f>IF(AQ100="7",BH100,0)</f>
      </c>
      <c r="AE100" s="114">
        <f>IF(AQ100="7",BI100,0)</f>
      </c>
      <c r="AF100" s="114">
        <f>IF(AQ100="2",BH100,0)</f>
      </c>
      <c r="AG100" s="114">
        <f>IF(AQ100="2",BI100,0)</f>
      </c>
      <c r="AH100" s="114">
        <f>IF(AQ100="0",BJ100,0)</f>
      </c>
      <c r="AI100" s="133" t="s">
        <v>83</v>
      </c>
      <c r="AJ100" s="114">
        <f>IF(AN100=0,J100,0)</f>
      </c>
      <c r="AK100" s="114">
        <f>IF(AN100=12,J100,0)</f>
      </c>
      <c r="AL100" s="114">
        <f>IF(AN100=21,J100,0)</f>
      </c>
      <c r="AN100" s="114" t="n">
        <v>21</v>
      </c>
      <c r="AO100" s="114">
        <f>G100*0.311487715</f>
      </c>
      <c r="AP100" s="114">
        <f>G100*(1-0.311487715)</f>
      </c>
      <c r="AQ100" s="156" t="s">
        <v>119</v>
      </c>
      <c r="AV100" s="114">
        <f>AW100+AX100</f>
      </c>
      <c r="AW100" s="114">
        <f>F100*AO100</f>
      </c>
      <c r="AX100" s="114">
        <f>F100*AP100</f>
      </c>
      <c r="AY100" s="156" t="s">
        <v>159</v>
      </c>
      <c r="AZ100" s="156" t="s">
        <v>319</v>
      </c>
      <c r="BA100" s="133" t="s">
        <v>320</v>
      </c>
      <c r="BC100" s="114">
        <f>AW100+AX100</f>
      </c>
      <c r="BD100" s="114">
        <f>G100/(100-BE100)*100</f>
      </c>
      <c r="BE100" s="114" t="n">
        <v>0</v>
      </c>
      <c r="BF100" s="114">
        <f>100</f>
      </c>
      <c r="BH100" s="114">
        <f>F100*AO100</f>
      </c>
      <c r="BI100" s="114">
        <f>F100*AP100</f>
      </c>
      <c r="BJ100" s="114">
        <f>F100*G100</f>
      </c>
      <c r="BK100" s="114"/>
      <c r="BL100" s="114" t="n">
        <v>18</v>
      </c>
      <c r="BW100" s="114" t="n">
        <v>21</v>
      </c>
      <c r="BX100" s="14" t="s">
        <v>195</v>
      </c>
    </row>
    <row r="101">
      <c r="A101" s="148" t="s">
        <v>10</v>
      </c>
      <c r="B101" s="149" t="s">
        <v>213</v>
      </c>
      <c r="C101" s="150" t="s">
        <v>214</v>
      </c>
      <c r="D101" s="149"/>
      <c r="E101" s="151" t="s">
        <v>74</v>
      </c>
      <c r="F101" s="151" t="s">
        <v>74</v>
      </c>
      <c r="G101" s="152" t="s">
        <v>74</v>
      </c>
      <c r="H101" s="120">
        <f>SUM(H102:H107)</f>
      </c>
      <c r="I101" s="120">
        <f>SUM(I102:I107)</f>
      </c>
      <c r="J101" s="120">
        <f>SUM(J102:J107)</f>
      </c>
      <c r="K101" s="153" t="s">
        <v>10</v>
      </c>
      <c r="AI101" s="133" t="s">
        <v>83</v>
      </c>
      <c r="AS101" s="120">
        <f>SUM(AJ102:AJ107)</f>
      </c>
      <c r="AT101" s="120">
        <f>SUM(AK102:AK107)</f>
      </c>
      <c r="AU101" s="120">
        <f>SUM(AL102:AL107)</f>
      </c>
    </row>
    <row r="102">
      <c r="A102" s="9" t="s">
        <v>326</v>
      </c>
      <c r="B102" s="10" t="s">
        <v>216</v>
      </c>
      <c r="C102" s="14" t="s">
        <v>217</v>
      </c>
      <c r="D102" s="10"/>
      <c r="E102" s="10" t="s">
        <v>158</v>
      </c>
      <c r="F102" s="114" t="n">
        <v>179.4</v>
      </c>
      <c r="G102" s="154" t="n">
        <v>0</v>
      </c>
      <c r="H102" s="114">
        <f>F102*AO102</f>
      </c>
      <c r="I102" s="114">
        <f>F102*AP102</f>
      </c>
      <c r="J102" s="114">
        <f>F102*G102</f>
      </c>
      <c r="K102" s="155" t="s">
        <v>123</v>
      </c>
      <c r="Z102" s="114">
        <f>IF(AQ102="5",BJ102,0)</f>
      </c>
      <c r="AB102" s="114">
        <f>IF(AQ102="1",BH102,0)</f>
      </c>
      <c r="AC102" s="114">
        <f>IF(AQ102="1",BI102,0)</f>
      </c>
      <c r="AD102" s="114">
        <f>IF(AQ102="7",BH102,0)</f>
      </c>
      <c r="AE102" s="114">
        <f>IF(AQ102="7",BI102,0)</f>
      </c>
      <c r="AF102" s="114">
        <f>IF(AQ102="2",BH102,0)</f>
      </c>
      <c r="AG102" s="114">
        <f>IF(AQ102="2",BI102,0)</f>
      </c>
      <c r="AH102" s="114">
        <f>IF(AQ102="0",BJ102,0)</f>
      </c>
      <c r="AI102" s="133" t="s">
        <v>83</v>
      </c>
      <c r="AJ102" s="114">
        <f>IF(AN102=0,J102,0)</f>
      </c>
      <c r="AK102" s="114">
        <f>IF(AN102=12,J102,0)</f>
      </c>
      <c r="AL102" s="114">
        <f>IF(AN102=21,J102,0)</f>
      </c>
      <c r="AN102" s="114" t="n">
        <v>21</v>
      </c>
      <c r="AO102" s="114">
        <f>G102*0.839684799</f>
      </c>
      <c r="AP102" s="114">
        <f>G102*(1-0.839684799)</f>
      </c>
      <c r="AQ102" s="156" t="s">
        <v>119</v>
      </c>
      <c r="AV102" s="114">
        <f>AW102+AX102</f>
      </c>
      <c r="AW102" s="114">
        <f>F102*AO102</f>
      </c>
      <c r="AX102" s="114">
        <f>F102*AP102</f>
      </c>
      <c r="AY102" s="156" t="s">
        <v>218</v>
      </c>
      <c r="AZ102" s="156" t="s">
        <v>327</v>
      </c>
      <c r="BA102" s="133" t="s">
        <v>320</v>
      </c>
      <c r="BC102" s="114">
        <f>AW102+AX102</f>
      </c>
      <c r="BD102" s="114">
        <f>G102/(100-BE102)*100</f>
      </c>
      <c r="BE102" s="114" t="n">
        <v>0</v>
      </c>
      <c r="BF102" s="114">
        <f>102</f>
      </c>
      <c r="BH102" s="114">
        <f>F102*AO102</f>
      </c>
      <c r="BI102" s="114">
        <f>F102*AP102</f>
      </c>
      <c r="BJ102" s="114">
        <f>F102*G102</f>
      </c>
      <c r="BK102" s="114"/>
      <c r="BL102" s="114" t="n">
        <v>56</v>
      </c>
      <c r="BW102" s="114" t="n">
        <v>21</v>
      </c>
      <c r="BX102" s="14" t="s">
        <v>217</v>
      </c>
    </row>
    <row r="103" customHeight="true" ht="13.5">
      <c r="A103" s="157"/>
      <c r="B103" s="158" t="s">
        <v>143</v>
      </c>
      <c r="C103" s="159" t="s">
        <v>220</v>
      </c>
      <c r="D103" s="160"/>
      <c r="E103" s="160"/>
      <c r="F103" s="160"/>
      <c r="G103" s="161"/>
      <c r="H103" s="160"/>
      <c r="I103" s="160"/>
      <c r="J103" s="160"/>
      <c r="K103" s="162"/>
    </row>
    <row r="104">
      <c r="A104" s="9" t="s">
        <v>328</v>
      </c>
      <c r="B104" s="10" t="s">
        <v>222</v>
      </c>
      <c r="C104" s="14" t="s">
        <v>223</v>
      </c>
      <c r="D104" s="10"/>
      <c r="E104" s="10" t="s">
        <v>158</v>
      </c>
      <c r="F104" s="114" t="n">
        <v>81.65</v>
      </c>
      <c r="G104" s="154" t="n">
        <v>0</v>
      </c>
      <c r="H104" s="114">
        <f>F104*AO104</f>
      </c>
      <c r="I104" s="114">
        <f>F104*AP104</f>
      </c>
      <c r="J104" s="114">
        <f>F104*G104</f>
      </c>
      <c r="K104" s="155" t="s">
        <v>123</v>
      </c>
      <c r="Z104" s="114">
        <f>IF(AQ104="5",BJ104,0)</f>
      </c>
      <c r="AB104" s="114">
        <f>IF(AQ104="1",BH104,0)</f>
      </c>
      <c r="AC104" s="114">
        <f>IF(AQ104="1",BI104,0)</f>
      </c>
      <c r="AD104" s="114">
        <f>IF(AQ104="7",BH104,0)</f>
      </c>
      <c r="AE104" s="114">
        <f>IF(AQ104="7",BI104,0)</f>
      </c>
      <c r="AF104" s="114">
        <f>IF(AQ104="2",BH104,0)</f>
      </c>
      <c r="AG104" s="114">
        <f>IF(AQ104="2",BI104,0)</f>
      </c>
      <c r="AH104" s="114">
        <f>IF(AQ104="0",BJ104,0)</f>
      </c>
      <c r="AI104" s="133" t="s">
        <v>83</v>
      </c>
      <c r="AJ104" s="114">
        <f>IF(AN104=0,J104,0)</f>
      </c>
      <c r="AK104" s="114">
        <f>IF(AN104=12,J104,0)</f>
      </c>
      <c r="AL104" s="114">
        <f>IF(AN104=21,J104,0)</f>
      </c>
      <c r="AN104" s="114" t="n">
        <v>21</v>
      </c>
      <c r="AO104" s="114">
        <f>G104*0.845951633</f>
      </c>
      <c r="AP104" s="114">
        <f>G104*(1-0.845951633)</f>
      </c>
      <c r="AQ104" s="156" t="s">
        <v>119</v>
      </c>
      <c r="AV104" s="114">
        <f>AW104+AX104</f>
      </c>
      <c r="AW104" s="114">
        <f>F104*AO104</f>
      </c>
      <c r="AX104" s="114">
        <f>F104*AP104</f>
      </c>
      <c r="AY104" s="156" t="s">
        <v>218</v>
      </c>
      <c r="AZ104" s="156" t="s">
        <v>327</v>
      </c>
      <c r="BA104" s="133" t="s">
        <v>320</v>
      </c>
      <c r="BC104" s="114">
        <f>AW104+AX104</f>
      </c>
      <c r="BD104" s="114">
        <f>G104/(100-BE104)*100</f>
      </c>
      <c r="BE104" s="114" t="n">
        <v>0</v>
      </c>
      <c r="BF104" s="114">
        <f>104</f>
      </c>
      <c r="BH104" s="114">
        <f>F104*AO104</f>
      </c>
      <c r="BI104" s="114">
        <f>F104*AP104</f>
      </c>
      <c r="BJ104" s="114">
        <f>F104*G104</f>
      </c>
      <c r="BK104" s="114"/>
      <c r="BL104" s="114" t="n">
        <v>56</v>
      </c>
      <c r="BW104" s="114" t="n">
        <v>21</v>
      </c>
      <c r="BX104" s="14" t="s">
        <v>223</v>
      </c>
    </row>
    <row r="105" customHeight="true" ht="13.5">
      <c r="A105" s="157"/>
      <c r="B105" s="158" t="s">
        <v>143</v>
      </c>
      <c r="C105" s="159" t="s">
        <v>220</v>
      </c>
      <c r="D105" s="160"/>
      <c r="E105" s="160"/>
      <c r="F105" s="160"/>
      <c r="G105" s="161"/>
      <c r="H105" s="160"/>
      <c r="I105" s="160"/>
      <c r="J105" s="160"/>
      <c r="K105" s="162"/>
    </row>
    <row r="106">
      <c r="A106" s="9" t="s">
        <v>329</v>
      </c>
      <c r="B106" s="10" t="s">
        <v>225</v>
      </c>
      <c r="C106" s="14" t="s">
        <v>226</v>
      </c>
      <c r="D106" s="10"/>
      <c r="E106" s="10" t="s">
        <v>158</v>
      </c>
      <c r="F106" s="114" t="n">
        <v>89.7</v>
      </c>
      <c r="G106" s="154" t="n">
        <v>0</v>
      </c>
      <c r="H106" s="114">
        <f>F106*AO106</f>
      </c>
      <c r="I106" s="114">
        <f>F106*AP106</f>
      </c>
      <c r="J106" s="114">
        <f>F106*G106</f>
      </c>
      <c r="K106" s="155" t="s">
        <v>123</v>
      </c>
      <c r="Z106" s="114">
        <f>IF(AQ106="5",BJ106,0)</f>
      </c>
      <c r="AB106" s="114">
        <f>IF(AQ106="1",BH106,0)</f>
      </c>
      <c r="AC106" s="114">
        <f>IF(AQ106="1",BI106,0)</f>
      </c>
      <c r="AD106" s="114">
        <f>IF(AQ106="7",BH106,0)</f>
      </c>
      <c r="AE106" s="114">
        <f>IF(AQ106="7",BI106,0)</f>
      </c>
      <c r="AF106" s="114">
        <f>IF(AQ106="2",BH106,0)</f>
      </c>
      <c r="AG106" s="114">
        <f>IF(AQ106="2",BI106,0)</f>
      </c>
      <c r="AH106" s="114">
        <f>IF(AQ106="0",BJ106,0)</f>
      </c>
      <c r="AI106" s="133" t="s">
        <v>83</v>
      </c>
      <c r="AJ106" s="114">
        <f>IF(AN106=0,J106,0)</f>
      </c>
      <c r="AK106" s="114">
        <f>IF(AN106=12,J106,0)</f>
      </c>
      <c r="AL106" s="114">
        <f>IF(AN106=21,J106,0)</f>
      </c>
      <c r="AN106" s="114" t="n">
        <v>21</v>
      </c>
      <c r="AO106" s="114">
        <f>G106*0.809382022</f>
      </c>
      <c r="AP106" s="114">
        <f>G106*(1-0.809382022)</f>
      </c>
      <c r="AQ106" s="156" t="s">
        <v>119</v>
      </c>
      <c r="AV106" s="114">
        <f>AW106+AX106</f>
      </c>
      <c r="AW106" s="114">
        <f>F106*AO106</f>
      </c>
      <c r="AX106" s="114">
        <f>F106*AP106</f>
      </c>
      <c r="AY106" s="156" t="s">
        <v>218</v>
      </c>
      <c r="AZ106" s="156" t="s">
        <v>327</v>
      </c>
      <c r="BA106" s="133" t="s">
        <v>320</v>
      </c>
      <c r="BC106" s="114">
        <f>AW106+AX106</f>
      </c>
      <c r="BD106" s="114">
        <f>G106/(100-BE106)*100</f>
      </c>
      <c r="BE106" s="114" t="n">
        <v>0</v>
      </c>
      <c r="BF106" s="114">
        <f>106</f>
      </c>
      <c r="BH106" s="114">
        <f>F106*AO106</f>
      </c>
      <c r="BI106" s="114">
        <f>F106*AP106</f>
      </c>
      <c r="BJ106" s="114">
        <f>F106*G106</f>
      </c>
      <c r="BK106" s="114"/>
      <c r="BL106" s="114" t="n">
        <v>56</v>
      </c>
      <c r="BW106" s="114" t="n">
        <v>21</v>
      </c>
      <c r="BX106" s="14" t="s">
        <v>226</v>
      </c>
    </row>
    <row r="107">
      <c r="A107" s="17" t="s">
        <v>213</v>
      </c>
      <c r="B107" s="18" t="s">
        <v>227</v>
      </c>
      <c r="C107" s="163" t="s">
        <v>228</v>
      </c>
      <c r="D107" s="18"/>
      <c r="E107" s="18" t="s">
        <v>158</v>
      </c>
      <c r="F107" s="115" t="n">
        <v>63.71</v>
      </c>
      <c r="G107" s="164" t="n">
        <v>0</v>
      </c>
      <c r="H107" s="115">
        <f>F107*AO107</f>
      </c>
      <c r="I107" s="115">
        <f>F107*AP107</f>
      </c>
      <c r="J107" s="115">
        <f>F107*G107</f>
      </c>
      <c r="K107" s="165" t="s">
        <v>123</v>
      </c>
      <c r="Z107" s="114">
        <f>IF(AQ107="5",BJ107,0)</f>
      </c>
      <c r="AB107" s="114">
        <f>IF(AQ107="1",BH107,0)</f>
      </c>
      <c r="AC107" s="114">
        <f>IF(AQ107="1",BI107,0)</f>
      </c>
      <c r="AD107" s="114">
        <f>IF(AQ107="7",BH107,0)</f>
      </c>
      <c r="AE107" s="114">
        <f>IF(AQ107="7",BI107,0)</f>
      </c>
      <c r="AF107" s="114">
        <f>IF(AQ107="2",BH107,0)</f>
      </c>
      <c r="AG107" s="114">
        <f>IF(AQ107="2",BI107,0)</f>
      </c>
      <c r="AH107" s="114">
        <f>IF(AQ107="0",BJ107,0)</f>
      </c>
      <c r="AI107" s="133" t="s">
        <v>83</v>
      </c>
      <c r="AJ107" s="114">
        <f>IF(AN107=0,J107,0)</f>
      </c>
      <c r="AK107" s="114">
        <f>IF(AN107=12,J107,0)</f>
      </c>
      <c r="AL107" s="114">
        <f>IF(AN107=21,J107,0)</f>
      </c>
      <c r="AN107" s="114" t="n">
        <v>21</v>
      </c>
      <c r="AO107" s="114">
        <f>G107*0.859948935</f>
      </c>
      <c r="AP107" s="114">
        <f>G107*(1-0.859948935)</f>
      </c>
      <c r="AQ107" s="156" t="s">
        <v>119</v>
      </c>
      <c r="AV107" s="114">
        <f>AW107+AX107</f>
      </c>
      <c r="AW107" s="114">
        <f>F107*AO107</f>
      </c>
      <c r="AX107" s="114">
        <f>F107*AP107</f>
      </c>
      <c r="AY107" s="156" t="s">
        <v>218</v>
      </c>
      <c r="AZ107" s="156" t="s">
        <v>327</v>
      </c>
      <c r="BA107" s="133" t="s">
        <v>320</v>
      </c>
      <c r="BC107" s="114">
        <f>AW107+AX107</f>
      </c>
      <c r="BD107" s="114">
        <f>G107/(100-BE107)*100</f>
      </c>
      <c r="BE107" s="114" t="n">
        <v>0</v>
      </c>
      <c r="BF107" s="114">
        <f>107</f>
      </c>
      <c r="BH107" s="114">
        <f>F107*AO107</f>
      </c>
      <c r="BI107" s="114">
        <f>F107*AP107</f>
      </c>
      <c r="BJ107" s="114">
        <f>F107*G107</f>
      </c>
      <c r="BK107" s="114"/>
      <c r="BL107" s="114" t="n">
        <v>56</v>
      </c>
      <c r="BW107" s="114" t="n">
        <v>21</v>
      </c>
      <c r="BX107" s="14" t="s">
        <v>228</v>
      </c>
    </row>
    <row r="108">
      <c r="H108" s="117" t="s">
        <v>84</v>
      </c>
      <c r="I108" s="117"/>
      <c r="J108" s="118">
        <f>J13+J18+J22+J24+J48+J51+J60+J66+J76+J78+J81+J89+J93+J95+J101</f>
      </c>
    </row>
    <row r="109">
      <c r="A109" s="119" t="s">
        <v>58</v>
      </c>
    </row>
    <row r="110" customHeight="true" ht="12.75">
      <c r="A110" s="14" t="s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8B3"/>
  <mergeCells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8:D9"/>
    <mergeCell ref="G2:G3"/>
    <mergeCell ref="G4:G5"/>
    <mergeCell ref="G6:G7"/>
    <mergeCell ref="G8:G9"/>
    <mergeCell ref="I2:K3"/>
    <mergeCell ref="I4:K5"/>
    <mergeCell ref="I6:K7"/>
    <mergeCell ref="I8:K9"/>
    <mergeCell ref="C10:D10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K20"/>
    <mergeCell ref="C21:K21"/>
    <mergeCell ref="C22:D22"/>
    <mergeCell ref="C23:D23"/>
    <mergeCell ref="C24:D24"/>
    <mergeCell ref="C25:D25"/>
    <mergeCell ref="C26:D26"/>
    <mergeCell ref="C27:D27"/>
    <mergeCell ref="C28:K28"/>
    <mergeCell ref="C29:D29"/>
    <mergeCell ref="C30:K30"/>
    <mergeCell ref="C31:D31"/>
    <mergeCell ref="C32:K32"/>
    <mergeCell ref="C33:D33"/>
    <mergeCell ref="C34:K34"/>
    <mergeCell ref="C35:D35"/>
    <mergeCell ref="C36:K36"/>
    <mergeCell ref="C37:D37"/>
    <mergeCell ref="C38:K38"/>
    <mergeCell ref="C39:D39"/>
    <mergeCell ref="C40:K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K50"/>
    <mergeCell ref="C51:D51"/>
    <mergeCell ref="C52:D52"/>
    <mergeCell ref="C53:K53"/>
    <mergeCell ref="C54:D54"/>
    <mergeCell ref="C55:K55"/>
    <mergeCell ref="C56:D56"/>
    <mergeCell ref="C57:D57"/>
    <mergeCell ref="C58:D58"/>
    <mergeCell ref="C59:K59"/>
    <mergeCell ref="C60:D60"/>
    <mergeCell ref="C61:D61"/>
    <mergeCell ref="C62:D62"/>
    <mergeCell ref="C63:K63"/>
    <mergeCell ref="C64:D64"/>
    <mergeCell ref="C65:K65"/>
    <mergeCell ref="C66:D66"/>
    <mergeCell ref="C67:D67"/>
    <mergeCell ref="C68:K68"/>
    <mergeCell ref="C69:D69"/>
    <mergeCell ref="C70:K70"/>
    <mergeCell ref="C71:K71"/>
    <mergeCell ref="C72:D72"/>
    <mergeCell ref="C73:K73"/>
    <mergeCell ref="C74:D74"/>
    <mergeCell ref="C75:K75"/>
    <mergeCell ref="C76:D76"/>
    <mergeCell ref="C77:D77"/>
    <mergeCell ref="C78:D78"/>
    <mergeCell ref="C79:D79"/>
    <mergeCell ref="C80:K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K103"/>
    <mergeCell ref="C104:D104"/>
    <mergeCell ref="C105:K105"/>
    <mergeCell ref="C106:D106"/>
    <mergeCell ref="C107:D107"/>
    <mergeCell ref="H108:I108"/>
    <mergeCell ref="A110:K110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H153"/>
  <sheetViews>
    <sheetView workbookViewId="0" showZeros="true" showFormulas="false" showGridLines="true" showRowColHeaders="true">
      <selection sqref="A153:G153" activeCell="A153"/>
    </sheetView>
  </sheetViews>
  <sheetFormatPr defaultColWidth="12.140625" customHeight="true" defaultRowHeight="15"/>
  <cols>
    <col max="2" min="1" style="0" width="9.140625" customWidth="true"/>
    <col max="3" min="3" style="0" width="14.28515625" customWidth="true"/>
    <col max="4" min="4" style="0" width="42.85546875" customWidth="true"/>
    <col max="5" min="5" style="0" width="71" customWidth="true"/>
    <col max="6" min="6" style="0" width="24.140625" customWidth="true"/>
    <col max="7" min="7" style="0" width="15.7109375" customWidth="true"/>
    <col max="8" min="8" style="0" width="19.99609375" customWidth="true"/>
  </cols>
  <sheetData>
    <row r="1" customHeight="true" ht="54.75">
      <c r="A1" s="2" t="s">
        <v>330</v>
      </c>
      <c r="B1" s="2"/>
      <c r="C1" s="2"/>
      <c r="D1" s="2"/>
      <c r="E1" s="2"/>
      <c r="F1" s="2"/>
      <c r="G1" s="2"/>
      <c r="H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8"/>
    </row>
    <row r="3" customHeight="true" ht="15">
      <c r="A3" s="9"/>
      <c r="B3" s="10"/>
      <c r="C3" s="11"/>
      <c r="D3" s="11"/>
      <c r="E3" s="10"/>
      <c r="F3" s="10"/>
      <c r="G3" s="10"/>
      <c r="H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2"/>
    </row>
    <row r="5" customHeight="true" ht="15">
      <c r="A5" s="9"/>
      <c r="B5" s="10"/>
      <c r="C5" s="10"/>
      <c r="D5" s="10"/>
      <c r="E5" s="10"/>
      <c r="F5" s="10"/>
      <c r="G5" s="10"/>
      <c r="H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2"/>
    </row>
    <row r="7" customHeight="true" ht="15">
      <c r="A7" s="9"/>
      <c r="B7" s="10"/>
      <c r="C7" s="10"/>
      <c r="D7" s="10"/>
      <c r="E7" s="10"/>
      <c r="F7" s="10"/>
      <c r="G7" s="10"/>
      <c r="H7" s="12"/>
    </row>
    <row r="8">
      <c r="A8" s="13" t="s">
        <v>15</v>
      </c>
      <c r="B8" s="10"/>
      <c r="C8" s="14">
        <f>'Stavební rozpočet'!I8</f>
      </c>
      <c r="D8" s="10"/>
      <c r="E8" s="14" t="s">
        <v>73</v>
      </c>
      <c r="F8" s="14">
        <f>'Stavební rozpočet'!G8</f>
      </c>
      <c r="G8" s="10"/>
      <c r="H8" s="12"/>
    </row>
    <row r="9">
      <c r="A9" s="94"/>
      <c r="B9" s="95"/>
      <c r="C9" s="95"/>
      <c r="D9" s="95"/>
      <c r="E9" s="95"/>
      <c r="F9" s="95"/>
      <c r="G9" s="95"/>
      <c r="H9" s="96"/>
    </row>
    <row r="10">
      <c r="A10" s="166" t="s">
        <v>92</v>
      </c>
      <c r="B10" s="167" t="s">
        <v>331</v>
      </c>
      <c r="C10" s="167" t="s">
        <v>93</v>
      </c>
      <c r="D10" s="168" t="s">
        <v>94</v>
      </c>
      <c r="E10" s="169"/>
      <c r="F10" s="167" t="s">
        <v>95</v>
      </c>
      <c r="G10" s="170" t="s">
        <v>96</v>
      </c>
      <c r="H10" s="171" t="s">
        <v>332</v>
      </c>
    </row>
    <row r="11">
      <c r="A11" s="172" t="s">
        <v>10</v>
      </c>
      <c r="B11" s="142" t="s">
        <v>333</v>
      </c>
      <c r="C11" s="142" t="s">
        <v>117</v>
      </c>
      <c r="D11" s="142" t="s">
        <v>118</v>
      </c>
      <c r="E11" s="142"/>
      <c r="F11" s="142" t="s">
        <v>10</v>
      </c>
      <c r="G11" s="173" t="s">
        <v>10</v>
      </c>
      <c r="H11" s="147" t="s">
        <v>10</v>
      </c>
    </row>
    <row r="12">
      <c r="A12" s="174" t="s">
        <v>10</v>
      </c>
      <c r="B12" s="149" t="s">
        <v>333</v>
      </c>
      <c r="C12" s="149" t="s">
        <v>138</v>
      </c>
      <c r="D12" s="149" t="s">
        <v>139</v>
      </c>
      <c r="E12" s="149"/>
      <c r="F12" s="149" t="s">
        <v>10</v>
      </c>
      <c r="G12" s="133" t="s">
        <v>10</v>
      </c>
      <c r="H12" s="153" t="s">
        <v>10</v>
      </c>
    </row>
    <row r="13">
      <c r="A13" s="174" t="s">
        <v>10</v>
      </c>
      <c r="B13" s="149" t="s">
        <v>333</v>
      </c>
      <c r="C13" s="149" t="s">
        <v>147</v>
      </c>
      <c r="D13" s="149" t="s">
        <v>148</v>
      </c>
      <c r="E13" s="149"/>
      <c r="F13" s="149" t="s">
        <v>10</v>
      </c>
      <c r="G13" s="133" t="s">
        <v>10</v>
      </c>
      <c r="H13" s="153" t="s">
        <v>10</v>
      </c>
    </row>
    <row r="14">
      <c r="A14" s="174" t="s">
        <v>10</v>
      </c>
      <c r="B14" s="149" t="s">
        <v>333</v>
      </c>
      <c r="C14" s="149" t="s">
        <v>153</v>
      </c>
      <c r="D14" s="149" t="s">
        <v>154</v>
      </c>
      <c r="E14" s="149"/>
      <c r="F14" s="149" t="s">
        <v>10</v>
      </c>
      <c r="G14" s="133" t="s">
        <v>10</v>
      </c>
      <c r="H14" s="153" t="s">
        <v>10</v>
      </c>
    </row>
    <row r="15">
      <c r="A15" s="174" t="s">
        <v>10</v>
      </c>
      <c r="B15" s="149" t="s">
        <v>333</v>
      </c>
      <c r="C15" s="149" t="s">
        <v>205</v>
      </c>
      <c r="D15" s="149" t="s">
        <v>206</v>
      </c>
      <c r="E15" s="149"/>
      <c r="F15" s="149" t="s">
        <v>10</v>
      </c>
      <c r="G15" s="133" t="s">
        <v>10</v>
      </c>
      <c r="H15" s="153" t="s">
        <v>10</v>
      </c>
    </row>
    <row r="16">
      <c r="A16" s="174" t="s">
        <v>10</v>
      </c>
      <c r="B16" s="149" t="s">
        <v>333</v>
      </c>
      <c r="C16" s="149" t="s">
        <v>213</v>
      </c>
      <c r="D16" s="149" t="s">
        <v>214</v>
      </c>
      <c r="E16" s="149"/>
      <c r="F16" s="149" t="s">
        <v>10</v>
      </c>
      <c r="G16" s="133" t="s">
        <v>10</v>
      </c>
      <c r="H16" s="153" t="s">
        <v>10</v>
      </c>
    </row>
    <row r="17">
      <c r="A17" s="174" t="s">
        <v>10</v>
      </c>
      <c r="B17" s="149" t="s">
        <v>333</v>
      </c>
      <c r="C17" s="149" t="s">
        <v>232</v>
      </c>
      <c r="D17" s="149" t="s">
        <v>233</v>
      </c>
      <c r="E17" s="149"/>
      <c r="F17" s="149" t="s">
        <v>10</v>
      </c>
      <c r="G17" s="133" t="s">
        <v>10</v>
      </c>
      <c r="H17" s="153" t="s">
        <v>10</v>
      </c>
    </row>
    <row r="18">
      <c r="A18" s="174" t="s">
        <v>10</v>
      </c>
      <c r="B18" s="149" t="s">
        <v>333</v>
      </c>
      <c r="C18" s="149" t="s">
        <v>247</v>
      </c>
      <c r="D18" s="149" t="s">
        <v>248</v>
      </c>
      <c r="E18" s="149"/>
      <c r="F18" s="149" t="s">
        <v>10</v>
      </c>
      <c r="G18" s="133" t="s">
        <v>10</v>
      </c>
      <c r="H18" s="153" t="s">
        <v>10</v>
      </c>
    </row>
    <row r="19">
      <c r="A19" s="174" t="s">
        <v>10</v>
      </c>
      <c r="B19" s="149" t="s">
        <v>333</v>
      </c>
      <c r="C19" s="149" t="s">
        <v>268</v>
      </c>
      <c r="D19" s="149" t="s">
        <v>269</v>
      </c>
      <c r="E19" s="149"/>
      <c r="F19" s="149" t="s">
        <v>10</v>
      </c>
      <c r="G19" s="133" t="s">
        <v>10</v>
      </c>
      <c r="H19" s="153" t="s">
        <v>10</v>
      </c>
    </row>
    <row r="20">
      <c r="A20" s="174" t="s">
        <v>10</v>
      </c>
      <c r="B20" s="149" t="s">
        <v>333</v>
      </c>
      <c r="C20" s="149" t="s">
        <v>274</v>
      </c>
      <c r="D20" s="149" t="s">
        <v>275</v>
      </c>
      <c r="E20" s="149"/>
      <c r="F20" s="149" t="s">
        <v>10</v>
      </c>
      <c r="G20" s="133" t="s">
        <v>10</v>
      </c>
      <c r="H20" s="153" t="s">
        <v>10</v>
      </c>
    </row>
    <row r="21">
      <c r="A21" s="174" t="s">
        <v>10</v>
      </c>
      <c r="B21" s="149" t="s">
        <v>333</v>
      </c>
      <c r="C21" s="149" t="s">
        <v>281</v>
      </c>
      <c r="D21" s="149" t="s">
        <v>282</v>
      </c>
      <c r="E21" s="149"/>
      <c r="F21" s="149" t="s">
        <v>10</v>
      </c>
      <c r="G21" s="133" t="s">
        <v>10</v>
      </c>
      <c r="H21" s="153" t="s">
        <v>10</v>
      </c>
    </row>
    <row r="22">
      <c r="A22" s="174" t="s">
        <v>10</v>
      </c>
      <c r="B22" s="149" t="s">
        <v>333</v>
      </c>
      <c r="C22" s="149" t="s">
        <v>307</v>
      </c>
      <c r="D22" s="149" t="s">
        <v>38</v>
      </c>
      <c r="E22" s="149"/>
      <c r="F22" s="149" t="s">
        <v>10</v>
      </c>
      <c r="G22" s="133" t="s">
        <v>10</v>
      </c>
      <c r="H22" s="153" t="s">
        <v>10</v>
      </c>
    </row>
    <row r="23">
      <c r="A23" s="9" t="s">
        <v>119</v>
      </c>
      <c r="B23" s="10" t="s">
        <v>81</v>
      </c>
      <c r="C23" s="10" t="s">
        <v>120</v>
      </c>
      <c r="D23" s="10" t="s">
        <v>121</v>
      </c>
      <c r="E23" s="10"/>
      <c r="F23" s="10" t="s">
        <v>122</v>
      </c>
      <c r="G23" s="114" t="n">
        <v>1378.26</v>
      </c>
      <c r="H23" s="175" t="n">
        <v>0</v>
      </c>
    </row>
    <row r="24">
      <c r="A24" s="157"/>
      <c r="D24" s="176" t="s">
        <v>334</v>
      </c>
      <c r="E24" s="176" t="s">
        <v>10</v>
      </c>
      <c r="F24" s="176"/>
      <c r="G24" s="177" t="n">
        <v>1378.26</v>
      </c>
      <c r="H24" s="178"/>
    </row>
    <row r="25">
      <c r="A25" s="9" t="s">
        <v>127</v>
      </c>
      <c r="B25" s="10" t="s">
        <v>81</v>
      </c>
      <c r="C25" s="10" t="s">
        <v>128</v>
      </c>
      <c r="D25" s="10" t="s">
        <v>129</v>
      </c>
      <c r="E25" s="10"/>
      <c r="F25" s="10" t="s">
        <v>122</v>
      </c>
      <c r="G25" s="114" t="n">
        <v>240</v>
      </c>
      <c r="H25" s="175" t="n">
        <v>0</v>
      </c>
    </row>
    <row r="26">
      <c r="A26" s="157"/>
      <c r="D26" s="176" t="s">
        <v>335</v>
      </c>
      <c r="E26" s="176" t="s">
        <v>336</v>
      </c>
      <c r="F26" s="176"/>
      <c r="G26" s="177" t="n">
        <v>100</v>
      </c>
      <c r="H26" s="178"/>
    </row>
    <row r="27">
      <c r="A27" s="9" t="s">
        <v>10</v>
      </c>
      <c r="B27" s="10" t="s">
        <v>10</v>
      </c>
      <c r="C27" s="10" t="s">
        <v>10</v>
      </c>
      <c r="D27" s="176" t="s">
        <v>337</v>
      </c>
      <c r="E27" s="176" t="s">
        <v>338</v>
      </c>
      <c r="F27" s="176"/>
      <c r="G27" s="177" t="n">
        <v>140</v>
      </c>
      <c r="H27" s="155" t="s">
        <v>10</v>
      </c>
    </row>
    <row r="28">
      <c r="A28" s="9" t="s">
        <v>130</v>
      </c>
      <c r="B28" s="10" t="s">
        <v>81</v>
      </c>
      <c r="C28" s="10" t="s">
        <v>131</v>
      </c>
      <c r="D28" s="10" t="s">
        <v>132</v>
      </c>
      <c r="E28" s="10"/>
      <c r="F28" s="10" t="s">
        <v>133</v>
      </c>
      <c r="G28" s="114" t="n">
        <v>252</v>
      </c>
      <c r="H28" s="175" t="n">
        <v>0</v>
      </c>
    </row>
    <row r="29">
      <c r="A29" s="157"/>
      <c r="D29" s="176" t="s">
        <v>339</v>
      </c>
      <c r="E29" s="176" t="s">
        <v>338</v>
      </c>
      <c r="F29" s="176"/>
      <c r="G29" s="177" t="n">
        <v>252</v>
      </c>
      <c r="H29" s="178"/>
    </row>
    <row r="30">
      <c r="A30" s="9" t="s">
        <v>135</v>
      </c>
      <c r="B30" s="10" t="s">
        <v>81</v>
      </c>
      <c r="C30" s="10" t="s">
        <v>136</v>
      </c>
      <c r="D30" s="10" t="s">
        <v>137</v>
      </c>
      <c r="E30" s="10"/>
      <c r="F30" s="10" t="s">
        <v>122</v>
      </c>
      <c r="G30" s="114" t="n">
        <v>140</v>
      </c>
      <c r="H30" s="175" t="n">
        <v>0</v>
      </c>
    </row>
    <row r="31">
      <c r="A31" s="157"/>
      <c r="D31" s="176" t="s">
        <v>337</v>
      </c>
      <c r="E31" s="176" t="s">
        <v>338</v>
      </c>
      <c r="F31" s="176"/>
      <c r="G31" s="177" t="n">
        <v>140</v>
      </c>
      <c r="H31" s="178"/>
    </row>
    <row r="32">
      <c r="A32" s="9" t="s">
        <v>134</v>
      </c>
      <c r="B32" s="10" t="s">
        <v>81</v>
      </c>
      <c r="C32" s="10" t="s">
        <v>140</v>
      </c>
      <c r="D32" s="10" t="s">
        <v>141</v>
      </c>
      <c r="E32" s="10"/>
      <c r="F32" s="10" t="s">
        <v>122</v>
      </c>
      <c r="G32" s="114" t="n">
        <v>2.048</v>
      </c>
      <c r="H32" s="175" t="n">
        <v>0</v>
      </c>
    </row>
    <row r="33">
      <c r="A33" s="157"/>
      <c r="D33" s="176" t="s">
        <v>340</v>
      </c>
      <c r="E33" s="176" t="s">
        <v>341</v>
      </c>
      <c r="F33" s="176"/>
      <c r="G33" s="177" t="n">
        <v>2.048</v>
      </c>
      <c r="H33" s="178"/>
    </row>
    <row r="34" customHeight="true" ht="13.5">
      <c r="A34" s="157"/>
      <c r="C34" s="179" t="s">
        <v>145</v>
      </c>
      <c r="D34" s="159" t="s">
        <v>146</v>
      </c>
      <c r="E34" s="160"/>
      <c r="F34" s="160"/>
      <c r="G34" s="160"/>
      <c r="H34" s="178"/>
    </row>
    <row r="35">
      <c r="A35" s="9" t="s">
        <v>149</v>
      </c>
      <c r="B35" s="10" t="s">
        <v>81</v>
      </c>
      <c r="C35" s="10" t="s">
        <v>150</v>
      </c>
      <c r="D35" s="10" t="s">
        <v>151</v>
      </c>
      <c r="E35" s="10"/>
      <c r="F35" s="10" t="s">
        <v>122</v>
      </c>
      <c r="G35" s="114" t="n">
        <v>100</v>
      </c>
      <c r="H35" s="175" t="n">
        <v>0</v>
      </c>
    </row>
    <row r="36">
      <c r="A36" s="157"/>
      <c r="D36" s="176" t="s">
        <v>335</v>
      </c>
      <c r="E36" s="176" t="s">
        <v>336</v>
      </c>
      <c r="F36" s="176"/>
      <c r="G36" s="177" t="n">
        <v>100</v>
      </c>
      <c r="H36" s="178"/>
    </row>
    <row r="37">
      <c r="A37" s="9" t="s">
        <v>155</v>
      </c>
      <c r="B37" s="10" t="s">
        <v>81</v>
      </c>
      <c r="C37" s="10" t="s">
        <v>156</v>
      </c>
      <c r="D37" s="10" t="s">
        <v>157</v>
      </c>
      <c r="E37" s="10"/>
      <c r="F37" s="10" t="s">
        <v>158</v>
      </c>
      <c r="G37" s="114" t="n">
        <v>9188.4</v>
      </c>
      <c r="H37" s="175" t="n">
        <v>0</v>
      </c>
    </row>
    <row r="38">
      <c r="A38" s="157"/>
      <c r="D38" s="176" t="s">
        <v>342</v>
      </c>
      <c r="E38" s="176" t="s">
        <v>10</v>
      </c>
      <c r="F38" s="176"/>
      <c r="G38" s="177" t="n">
        <v>9188.4</v>
      </c>
      <c r="H38" s="178"/>
    </row>
    <row r="39">
      <c r="A39" s="9" t="s">
        <v>160</v>
      </c>
      <c r="B39" s="10" t="s">
        <v>81</v>
      </c>
      <c r="C39" s="10" t="s">
        <v>161</v>
      </c>
      <c r="D39" s="10" t="s">
        <v>162</v>
      </c>
      <c r="E39" s="10"/>
      <c r="F39" s="10" t="s">
        <v>163</v>
      </c>
      <c r="G39" s="114" t="n">
        <v>20</v>
      </c>
      <c r="H39" s="175" t="n">
        <v>0</v>
      </c>
    </row>
    <row r="40">
      <c r="A40" s="157"/>
      <c r="D40" s="176" t="s">
        <v>196</v>
      </c>
      <c r="E40" s="176" t="s">
        <v>10</v>
      </c>
      <c r="F40" s="176"/>
      <c r="G40" s="177" t="n">
        <v>20</v>
      </c>
      <c r="H40" s="178"/>
    </row>
    <row r="41">
      <c r="A41" s="9" t="s">
        <v>164</v>
      </c>
      <c r="B41" s="10" t="s">
        <v>81</v>
      </c>
      <c r="C41" s="10" t="s">
        <v>165</v>
      </c>
      <c r="D41" s="10" t="s">
        <v>166</v>
      </c>
      <c r="E41" s="10"/>
      <c r="F41" s="10" t="s">
        <v>163</v>
      </c>
      <c r="G41" s="114" t="n">
        <v>3</v>
      </c>
      <c r="H41" s="175" t="n">
        <v>0</v>
      </c>
    </row>
    <row r="42">
      <c r="A42" s="157"/>
      <c r="D42" s="176" t="s">
        <v>130</v>
      </c>
      <c r="E42" s="176" t="s">
        <v>10</v>
      </c>
      <c r="F42" s="176"/>
      <c r="G42" s="177" t="n">
        <v>3</v>
      </c>
      <c r="H42" s="178"/>
    </row>
    <row r="43" customHeight="true" ht="13.5">
      <c r="A43" s="157"/>
      <c r="C43" s="179" t="s">
        <v>145</v>
      </c>
      <c r="D43" s="159" t="s">
        <v>168</v>
      </c>
      <c r="E43" s="160"/>
      <c r="F43" s="160"/>
      <c r="G43" s="160"/>
      <c r="H43" s="178"/>
    </row>
    <row r="44">
      <c r="A44" s="9" t="s">
        <v>169</v>
      </c>
      <c r="B44" s="10" t="s">
        <v>81</v>
      </c>
      <c r="C44" s="10" t="s">
        <v>170</v>
      </c>
      <c r="D44" s="10" t="s">
        <v>171</v>
      </c>
      <c r="E44" s="10"/>
      <c r="F44" s="10" t="s">
        <v>163</v>
      </c>
      <c r="G44" s="114" t="n">
        <v>2</v>
      </c>
      <c r="H44" s="175" t="n">
        <v>0</v>
      </c>
    </row>
    <row r="45">
      <c r="A45" s="157"/>
      <c r="D45" s="176" t="s">
        <v>127</v>
      </c>
      <c r="E45" s="176" t="s">
        <v>10</v>
      </c>
      <c r="F45" s="176"/>
      <c r="G45" s="177" t="n">
        <v>2</v>
      </c>
      <c r="H45" s="178"/>
    </row>
    <row r="46" customHeight="true" ht="13.5">
      <c r="A46" s="157"/>
      <c r="C46" s="179" t="s">
        <v>145</v>
      </c>
      <c r="D46" s="159" t="s">
        <v>172</v>
      </c>
      <c r="E46" s="160"/>
      <c r="F46" s="160"/>
      <c r="G46" s="160"/>
      <c r="H46" s="178"/>
    </row>
    <row r="47">
      <c r="A47" s="9" t="s">
        <v>173</v>
      </c>
      <c r="B47" s="10" t="s">
        <v>81</v>
      </c>
      <c r="C47" s="10" t="s">
        <v>174</v>
      </c>
      <c r="D47" s="10" t="s">
        <v>175</v>
      </c>
      <c r="E47" s="10"/>
      <c r="F47" s="10" t="s">
        <v>163</v>
      </c>
      <c r="G47" s="114" t="n">
        <v>2</v>
      </c>
      <c r="H47" s="175" t="n">
        <v>0</v>
      </c>
    </row>
    <row r="48">
      <c r="A48" s="157"/>
      <c r="D48" s="176" t="s">
        <v>127</v>
      </c>
      <c r="E48" s="176" t="s">
        <v>10</v>
      </c>
      <c r="F48" s="176"/>
      <c r="G48" s="177" t="n">
        <v>2</v>
      </c>
      <c r="H48" s="178"/>
    </row>
    <row r="49" customHeight="true" ht="13.5">
      <c r="A49" s="157"/>
      <c r="C49" s="179" t="s">
        <v>145</v>
      </c>
      <c r="D49" s="159" t="s">
        <v>172</v>
      </c>
      <c r="E49" s="160"/>
      <c r="F49" s="160"/>
      <c r="G49" s="160"/>
      <c r="H49" s="178"/>
    </row>
    <row r="50">
      <c r="A50" s="9" t="s">
        <v>117</v>
      </c>
      <c r="B50" s="10" t="s">
        <v>81</v>
      </c>
      <c r="C50" s="10" t="s">
        <v>176</v>
      </c>
      <c r="D50" s="10" t="s">
        <v>177</v>
      </c>
      <c r="E50" s="10"/>
      <c r="F50" s="10" t="s">
        <v>163</v>
      </c>
      <c r="G50" s="114" t="n">
        <v>3</v>
      </c>
      <c r="H50" s="175" t="n">
        <v>0</v>
      </c>
    </row>
    <row r="51">
      <c r="A51" s="157"/>
      <c r="D51" s="176" t="s">
        <v>130</v>
      </c>
      <c r="E51" s="176" t="s">
        <v>10</v>
      </c>
      <c r="F51" s="176"/>
      <c r="G51" s="177" t="n">
        <v>3</v>
      </c>
      <c r="H51" s="178"/>
    </row>
    <row r="52" customHeight="true" ht="13.5">
      <c r="A52" s="157"/>
      <c r="C52" s="179" t="s">
        <v>145</v>
      </c>
      <c r="D52" s="159" t="s">
        <v>172</v>
      </c>
      <c r="E52" s="160"/>
      <c r="F52" s="160"/>
      <c r="G52" s="160"/>
      <c r="H52" s="178"/>
    </row>
    <row r="53">
      <c r="A53" s="9" t="s">
        <v>138</v>
      </c>
      <c r="B53" s="10" t="s">
        <v>81</v>
      </c>
      <c r="C53" s="10" t="s">
        <v>178</v>
      </c>
      <c r="D53" s="10" t="s">
        <v>179</v>
      </c>
      <c r="E53" s="10"/>
      <c r="F53" s="10" t="s">
        <v>163</v>
      </c>
      <c r="G53" s="114" t="n">
        <v>2</v>
      </c>
      <c r="H53" s="175" t="n">
        <v>0</v>
      </c>
    </row>
    <row r="54">
      <c r="A54" s="157"/>
      <c r="D54" s="176" t="s">
        <v>127</v>
      </c>
      <c r="E54" s="176" t="s">
        <v>10</v>
      </c>
      <c r="F54" s="176"/>
      <c r="G54" s="177" t="n">
        <v>2</v>
      </c>
      <c r="H54" s="178"/>
    </row>
    <row r="55" customHeight="true" ht="13.5">
      <c r="A55" s="157"/>
      <c r="C55" s="179" t="s">
        <v>145</v>
      </c>
      <c r="D55" s="159" t="s">
        <v>172</v>
      </c>
      <c r="E55" s="160"/>
      <c r="F55" s="160"/>
      <c r="G55" s="160"/>
      <c r="H55" s="178"/>
    </row>
    <row r="56">
      <c r="A56" s="9" t="s">
        <v>180</v>
      </c>
      <c r="B56" s="10" t="s">
        <v>81</v>
      </c>
      <c r="C56" s="10" t="s">
        <v>181</v>
      </c>
      <c r="D56" s="10" t="s">
        <v>182</v>
      </c>
      <c r="E56" s="10"/>
      <c r="F56" s="10" t="s">
        <v>163</v>
      </c>
      <c r="G56" s="114" t="n">
        <v>6</v>
      </c>
      <c r="H56" s="175" t="n">
        <v>0</v>
      </c>
    </row>
    <row r="57">
      <c r="A57" s="157"/>
      <c r="D57" s="176" t="s">
        <v>149</v>
      </c>
      <c r="E57" s="176" t="s">
        <v>10</v>
      </c>
      <c r="F57" s="176"/>
      <c r="G57" s="177" t="n">
        <v>6</v>
      </c>
      <c r="H57" s="178"/>
    </row>
    <row r="58" customHeight="true" ht="13.5">
      <c r="A58" s="157"/>
      <c r="C58" s="179" t="s">
        <v>145</v>
      </c>
      <c r="D58" s="159" t="s">
        <v>172</v>
      </c>
      <c r="E58" s="160"/>
      <c r="F58" s="160"/>
      <c r="G58" s="160"/>
      <c r="H58" s="178"/>
    </row>
    <row r="59">
      <c r="A59" s="9" t="s">
        <v>183</v>
      </c>
      <c r="B59" s="10" t="s">
        <v>81</v>
      </c>
      <c r="C59" s="10" t="s">
        <v>184</v>
      </c>
      <c r="D59" s="10" t="s">
        <v>185</v>
      </c>
      <c r="E59" s="10"/>
      <c r="F59" s="10" t="s">
        <v>163</v>
      </c>
      <c r="G59" s="114" t="n">
        <v>2</v>
      </c>
      <c r="H59" s="175" t="n">
        <v>0</v>
      </c>
    </row>
    <row r="60">
      <c r="A60" s="157"/>
      <c r="D60" s="176" t="s">
        <v>127</v>
      </c>
      <c r="E60" s="176" t="s">
        <v>10</v>
      </c>
      <c r="F60" s="176"/>
      <c r="G60" s="177" t="n">
        <v>2</v>
      </c>
      <c r="H60" s="178"/>
    </row>
    <row r="61" customHeight="true" ht="13.5">
      <c r="A61" s="157"/>
      <c r="C61" s="179" t="s">
        <v>145</v>
      </c>
      <c r="D61" s="159" t="s">
        <v>172</v>
      </c>
      <c r="E61" s="160"/>
      <c r="F61" s="160"/>
      <c r="G61" s="160"/>
      <c r="H61" s="178"/>
    </row>
    <row r="62">
      <c r="A62" s="9" t="s">
        <v>186</v>
      </c>
      <c r="B62" s="10" t="s">
        <v>81</v>
      </c>
      <c r="C62" s="10" t="s">
        <v>187</v>
      </c>
      <c r="D62" s="10" t="s">
        <v>188</v>
      </c>
      <c r="E62" s="10"/>
      <c r="F62" s="10" t="s">
        <v>158</v>
      </c>
      <c r="G62" s="114" t="n">
        <v>2418</v>
      </c>
      <c r="H62" s="175" t="n">
        <v>0</v>
      </c>
    </row>
    <row r="63">
      <c r="A63" s="157"/>
      <c r="D63" s="176" t="s">
        <v>343</v>
      </c>
      <c r="E63" s="176" t="s">
        <v>344</v>
      </c>
      <c r="F63" s="176"/>
      <c r="G63" s="177" t="n">
        <v>2418</v>
      </c>
      <c r="H63" s="178"/>
    </row>
    <row r="64">
      <c r="A64" s="9" t="s">
        <v>147</v>
      </c>
      <c r="B64" s="10" t="s">
        <v>81</v>
      </c>
      <c r="C64" s="10" t="s">
        <v>189</v>
      </c>
      <c r="D64" s="10" t="s">
        <v>190</v>
      </c>
      <c r="E64" s="10"/>
      <c r="F64" s="10" t="s">
        <v>158</v>
      </c>
      <c r="G64" s="114" t="n">
        <v>4594.2</v>
      </c>
      <c r="H64" s="175" t="n">
        <v>0</v>
      </c>
    </row>
    <row r="65">
      <c r="A65" s="157"/>
      <c r="D65" s="176" t="s">
        <v>345</v>
      </c>
      <c r="E65" s="176" t="s">
        <v>346</v>
      </c>
      <c r="F65" s="176"/>
      <c r="G65" s="177" t="n">
        <v>4594.2</v>
      </c>
      <c r="H65" s="178"/>
    </row>
    <row r="66">
      <c r="A66" s="9" t="s">
        <v>153</v>
      </c>
      <c r="B66" s="10" t="s">
        <v>81</v>
      </c>
      <c r="C66" s="10" t="s">
        <v>191</v>
      </c>
      <c r="D66" s="10" t="s">
        <v>192</v>
      </c>
      <c r="E66" s="10"/>
      <c r="F66" s="10" t="s">
        <v>158</v>
      </c>
      <c r="G66" s="114" t="n">
        <v>4594.2</v>
      </c>
      <c r="H66" s="175" t="n">
        <v>0</v>
      </c>
    </row>
    <row r="67">
      <c r="A67" s="157"/>
      <c r="D67" s="176" t="s">
        <v>347</v>
      </c>
      <c r="E67" s="176" t="s">
        <v>10</v>
      </c>
      <c r="F67" s="176"/>
      <c r="G67" s="177" t="n">
        <v>4594.2</v>
      </c>
      <c r="H67" s="178"/>
    </row>
    <row r="68">
      <c r="A68" s="9" t="s">
        <v>193</v>
      </c>
      <c r="B68" s="10" t="s">
        <v>81</v>
      </c>
      <c r="C68" s="10" t="s">
        <v>194</v>
      </c>
      <c r="D68" s="10" t="s">
        <v>195</v>
      </c>
      <c r="E68" s="10"/>
      <c r="F68" s="10" t="s">
        <v>122</v>
      </c>
      <c r="G68" s="114" t="n">
        <v>137.826</v>
      </c>
      <c r="H68" s="175" t="n">
        <v>0</v>
      </c>
    </row>
    <row r="69">
      <c r="A69" s="157"/>
      <c r="D69" s="176" t="s">
        <v>348</v>
      </c>
      <c r="E69" s="176" t="s">
        <v>349</v>
      </c>
      <c r="F69" s="176"/>
      <c r="G69" s="177" t="n">
        <v>137.826</v>
      </c>
      <c r="H69" s="178"/>
    </row>
    <row r="70">
      <c r="A70" s="9" t="s">
        <v>196</v>
      </c>
      <c r="B70" s="10" t="s">
        <v>81</v>
      </c>
      <c r="C70" s="10" t="s">
        <v>197</v>
      </c>
      <c r="D70" s="10" t="s">
        <v>198</v>
      </c>
      <c r="E70" s="10"/>
      <c r="F70" s="10" t="s">
        <v>163</v>
      </c>
      <c r="G70" s="114" t="n">
        <v>20</v>
      </c>
      <c r="H70" s="175" t="n">
        <v>0</v>
      </c>
    </row>
    <row r="71">
      <c r="A71" s="157"/>
      <c r="D71" s="176" t="s">
        <v>196</v>
      </c>
      <c r="E71" s="176" t="s">
        <v>10</v>
      </c>
      <c r="F71" s="176"/>
      <c r="G71" s="177" t="n">
        <v>20</v>
      </c>
      <c r="H71" s="178"/>
    </row>
    <row r="72">
      <c r="A72" s="9" t="s">
        <v>199</v>
      </c>
      <c r="B72" s="10" t="s">
        <v>81</v>
      </c>
      <c r="C72" s="10" t="s">
        <v>200</v>
      </c>
      <c r="D72" s="10" t="s">
        <v>201</v>
      </c>
      <c r="E72" s="10"/>
      <c r="F72" s="10" t="s">
        <v>163</v>
      </c>
      <c r="G72" s="114" t="n">
        <v>1</v>
      </c>
      <c r="H72" s="175" t="n">
        <v>0</v>
      </c>
    </row>
    <row r="73">
      <c r="A73" s="157"/>
      <c r="D73" s="176" t="s">
        <v>119</v>
      </c>
      <c r="E73" s="176" t="s">
        <v>10</v>
      </c>
      <c r="F73" s="176"/>
      <c r="G73" s="177" t="n">
        <v>1</v>
      </c>
      <c r="H73" s="178"/>
    </row>
    <row r="74">
      <c r="A74" s="9" t="s">
        <v>202</v>
      </c>
      <c r="B74" s="10" t="s">
        <v>81</v>
      </c>
      <c r="C74" s="10" t="s">
        <v>203</v>
      </c>
      <c r="D74" s="10" t="s">
        <v>204</v>
      </c>
      <c r="E74" s="10"/>
      <c r="F74" s="10" t="s">
        <v>163</v>
      </c>
      <c r="G74" s="114" t="n">
        <v>1</v>
      </c>
      <c r="H74" s="175" t="n">
        <v>0</v>
      </c>
    </row>
    <row r="75">
      <c r="A75" s="157"/>
      <c r="D75" s="176" t="s">
        <v>196</v>
      </c>
      <c r="E75" s="176" t="s">
        <v>10</v>
      </c>
      <c r="F75" s="176"/>
      <c r="G75" s="177" t="n">
        <v>20</v>
      </c>
      <c r="H75" s="178"/>
    </row>
    <row r="76">
      <c r="A76" s="9" t="s">
        <v>207</v>
      </c>
      <c r="B76" s="10" t="s">
        <v>81</v>
      </c>
      <c r="C76" s="10" t="s">
        <v>208</v>
      </c>
      <c r="D76" s="10" t="s">
        <v>209</v>
      </c>
      <c r="E76" s="10"/>
      <c r="F76" s="10" t="s">
        <v>122</v>
      </c>
      <c r="G76" s="114" t="n">
        <v>2.048</v>
      </c>
      <c r="H76" s="175" t="n">
        <v>0</v>
      </c>
    </row>
    <row r="77">
      <c r="A77" s="157"/>
      <c r="D77" s="176" t="s">
        <v>340</v>
      </c>
      <c r="E77" s="176" t="s">
        <v>350</v>
      </c>
      <c r="F77" s="176"/>
      <c r="G77" s="177" t="n">
        <v>2.048</v>
      </c>
      <c r="H77" s="178"/>
    </row>
    <row r="78" customHeight="true" ht="13.5">
      <c r="A78" s="157"/>
      <c r="C78" s="179" t="s">
        <v>145</v>
      </c>
      <c r="D78" s="159" t="s">
        <v>212</v>
      </c>
      <c r="E78" s="160"/>
      <c r="F78" s="160"/>
      <c r="G78" s="160"/>
      <c r="H78" s="178"/>
    </row>
    <row r="79">
      <c r="A79" s="9" t="s">
        <v>215</v>
      </c>
      <c r="B79" s="10" t="s">
        <v>81</v>
      </c>
      <c r="C79" s="10" t="s">
        <v>216</v>
      </c>
      <c r="D79" s="10" t="s">
        <v>217</v>
      </c>
      <c r="E79" s="10"/>
      <c r="F79" s="10" t="s">
        <v>158</v>
      </c>
      <c r="G79" s="114" t="n">
        <v>4836</v>
      </c>
      <c r="H79" s="175" t="n">
        <v>0</v>
      </c>
    </row>
    <row r="80">
      <c r="A80" s="157"/>
      <c r="D80" s="176" t="s">
        <v>351</v>
      </c>
      <c r="E80" s="176" t="s">
        <v>352</v>
      </c>
      <c r="F80" s="176"/>
      <c r="G80" s="177" t="n">
        <v>4836</v>
      </c>
      <c r="H80" s="178"/>
    </row>
    <row r="81">
      <c r="A81" s="9" t="s">
        <v>221</v>
      </c>
      <c r="B81" s="10" t="s">
        <v>81</v>
      </c>
      <c r="C81" s="10" t="s">
        <v>222</v>
      </c>
      <c r="D81" s="10" t="s">
        <v>223</v>
      </c>
      <c r="E81" s="10"/>
      <c r="F81" s="10" t="s">
        <v>158</v>
      </c>
      <c r="G81" s="114" t="n">
        <v>2201</v>
      </c>
      <c r="H81" s="175" t="n">
        <v>0</v>
      </c>
    </row>
    <row r="82">
      <c r="A82" s="157"/>
      <c r="D82" s="176" t="s">
        <v>353</v>
      </c>
      <c r="E82" s="176" t="s">
        <v>354</v>
      </c>
      <c r="F82" s="176"/>
      <c r="G82" s="177" t="n">
        <v>2201</v>
      </c>
      <c r="H82" s="178"/>
    </row>
    <row r="83">
      <c r="A83" s="9" t="s">
        <v>224</v>
      </c>
      <c r="B83" s="10" t="s">
        <v>81</v>
      </c>
      <c r="C83" s="10" t="s">
        <v>225</v>
      </c>
      <c r="D83" s="10" t="s">
        <v>226</v>
      </c>
      <c r="E83" s="10"/>
      <c r="F83" s="10" t="s">
        <v>158</v>
      </c>
      <c r="G83" s="114" t="n">
        <v>2418</v>
      </c>
      <c r="H83" s="175" t="n">
        <v>0</v>
      </c>
    </row>
    <row r="84">
      <c r="A84" s="157"/>
      <c r="D84" s="176" t="s">
        <v>355</v>
      </c>
      <c r="E84" s="176" t="s">
        <v>10</v>
      </c>
      <c r="F84" s="176"/>
      <c r="G84" s="177" t="n">
        <v>2418</v>
      </c>
      <c r="H84" s="178"/>
    </row>
    <row r="85">
      <c r="A85" s="9" t="s">
        <v>205</v>
      </c>
      <c r="B85" s="10" t="s">
        <v>81</v>
      </c>
      <c r="C85" s="10" t="s">
        <v>227</v>
      </c>
      <c r="D85" s="10" t="s">
        <v>228</v>
      </c>
      <c r="E85" s="10"/>
      <c r="F85" s="10" t="s">
        <v>158</v>
      </c>
      <c r="G85" s="114" t="n">
        <v>1717.4</v>
      </c>
      <c r="H85" s="175" t="n">
        <v>0</v>
      </c>
    </row>
    <row r="86">
      <c r="A86" s="157"/>
      <c r="D86" s="176" t="s">
        <v>356</v>
      </c>
      <c r="E86" s="176" t="s">
        <v>357</v>
      </c>
      <c r="F86" s="176"/>
      <c r="G86" s="177" t="n">
        <v>1717.4</v>
      </c>
      <c r="H86" s="178"/>
    </row>
    <row r="87">
      <c r="A87" s="9" t="s">
        <v>229</v>
      </c>
      <c r="B87" s="10" t="s">
        <v>81</v>
      </c>
      <c r="C87" s="10" t="s">
        <v>230</v>
      </c>
      <c r="D87" s="10" t="s">
        <v>231</v>
      </c>
      <c r="E87" s="10"/>
      <c r="F87" s="10" t="s">
        <v>158</v>
      </c>
      <c r="G87" s="114" t="n">
        <v>8</v>
      </c>
      <c r="H87" s="175" t="n">
        <v>0</v>
      </c>
    </row>
    <row r="88">
      <c r="A88" s="157"/>
      <c r="D88" s="176" t="s">
        <v>160</v>
      </c>
      <c r="E88" s="176" t="s">
        <v>358</v>
      </c>
      <c r="F88" s="176"/>
      <c r="G88" s="177" t="n">
        <v>8</v>
      </c>
      <c r="H88" s="178"/>
    </row>
    <row r="89">
      <c r="A89" s="9" t="s">
        <v>234</v>
      </c>
      <c r="B89" s="10" t="s">
        <v>81</v>
      </c>
      <c r="C89" s="10" t="s">
        <v>235</v>
      </c>
      <c r="D89" s="10" t="s">
        <v>236</v>
      </c>
      <c r="E89" s="10"/>
      <c r="F89" s="10" t="s">
        <v>237</v>
      </c>
      <c r="G89" s="114" t="n">
        <v>12.5</v>
      </c>
      <c r="H89" s="175" t="n">
        <v>0</v>
      </c>
    </row>
    <row r="90">
      <c r="A90" s="157"/>
      <c r="D90" s="176" t="s">
        <v>359</v>
      </c>
      <c r="E90" s="176" t="s">
        <v>10</v>
      </c>
      <c r="F90" s="176"/>
      <c r="G90" s="177" t="n">
        <v>12.5</v>
      </c>
      <c r="H90" s="178"/>
    </row>
    <row r="91">
      <c r="A91" s="9" t="s">
        <v>239</v>
      </c>
      <c r="B91" s="10" t="s">
        <v>81</v>
      </c>
      <c r="C91" s="10" t="s">
        <v>240</v>
      </c>
      <c r="D91" s="10" t="s">
        <v>241</v>
      </c>
      <c r="E91" s="10"/>
      <c r="F91" s="10" t="s">
        <v>158</v>
      </c>
      <c r="G91" s="114" t="n">
        <v>8</v>
      </c>
      <c r="H91" s="175" t="n">
        <v>0</v>
      </c>
    </row>
    <row r="92">
      <c r="A92" s="157"/>
      <c r="D92" s="176" t="s">
        <v>160</v>
      </c>
      <c r="E92" s="176" t="s">
        <v>10</v>
      </c>
      <c r="F92" s="176"/>
      <c r="G92" s="177" t="n">
        <v>8</v>
      </c>
      <c r="H92" s="178"/>
    </row>
    <row r="93" customHeight="true" ht="54">
      <c r="A93" s="157"/>
      <c r="C93" s="179" t="s">
        <v>145</v>
      </c>
      <c r="D93" s="159" t="s">
        <v>242</v>
      </c>
      <c r="E93" s="160"/>
      <c r="F93" s="160"/>
      <c r="G93" s="160"/>
      <c r="H93" s="178"/>
    </row>
    <row r="94">
      <c r="A94" s="9" t="s">
        <v>243</v>
      </c>
      <c r="B94" s="10" t="s">
        <v>81</v>
      </c>
      <c r="C94" s="10" t="s">
        <v>244</v>
      </c>
      <c r="D94" s="10" t="s">
        <v>245</v>
      </c>
      <c r="E94" s="10"/>
      <c r="F94" s="10" t="s">
        <v>158</v>
      </c>
      <c r="G94" s="114" t="n">
        <v>8</v>
      </c>
      <c r="H94" s="175" t="n">
        <v>0</v>
      </c>
    </row>
    <row r="95">
      <c r="A95" s="157"/>
      <c r="D95" s="176" t="s">
        <v>160</v>
      </c>
      <c r="E95" s="176" t="s">
        <v>10</v>
      </c>
      <c r="F95" s="176"/>
      <c r="G95" s="177" t="n">
        <v>8</v>
      </c>
      <c r="H95" s="178"/>
    </row>
    <row r="96" customHeight="true" ht="13.5">
      <c r="A96" s="157"/>
      <c r="C96" s="179" t="s">
        <v>145</v>
      </c>
      <c r="D96" s="159" t="s">
        <v>360</v>
      </c>
      <c r="E96" s="160"/>
      <c r="F96" s="160"/>
      <c r="G96" s="160"/>
      <c r="H96" s="178"/>
    </row>
    <row r="97">
      <c r="A97" s="9" t="s">
        <v>249</v>
      </c>
      <c r="B97" s="10" t="s">
        <v>81</v>
      </c>
      <c r="C97" s="10" t="s">
        <v>250</v>
      </c>
      <c r="D97" s="10" t="s">
        <v>251</v>
      </c>
      <c r="E97" s="10"/>
      <c r="F97" s="10" t="s">
        <v>163</v>
      </c>
      <c r="G97" s="114" t="n">
        <v>2</v>
      </c>
      <c r="H97" s="175" t="n">
        <v>0</v>
      </c>
    </row>
    <row r="98">
      <c r="A98" s="157"/>
      <c r="D98" s="176" t="s">
        <v>127</v>
      </c>
      <c r="E98" s="176" t="s">
        <v>361</v>
      </c>
      <c r="F98" s="176"/>
      <c r="G98" s="177" t="n">
        <v>2</v>
      </c>
      <c r="H98" s="178"/>
    </row>
    <row r="99">
      <c r="A99" s="9" t="s">
        <v>255</v>
      </c>
      <c r="B99" s="10" t="s">
        <v>81</v>
      </c>
      <c r="C99" s="10" t="s">
        <v>256</v>
      </c>
      <c r="D99" s="10" t="s">
        <v>257</v>
      </c>
      <c r="E99" s="10"/>
      <c r="F99" s="10" t="s">
        <v>237</v>
      </c>
      <c r="G99" s="114" t="n">
        <v>12</v>
      </c>
      <c r="H99" s="175" t="n">
        <v>0</v>
      </c>
    </row>
    <row r="100">
      <c r="A100" s="157"/>
      <c r="D100" s="176" t="s">
        <v>362</v>
      </c>
      <c r="E100" s="176" t="s">
        <v>363</v>
      </c>
      <c r="F100" s="176"/>
      <c r="G100" s="177" t="n">
        <v>12</v>
      </c>
      <c r="H100" s="178"/>
    </row>
    <row r="101" customHeight="true" ht="27">
      <c r="A101" s="157"/>
      <c r="C101" s="179" t="s">
        <v>145</v>
      </c>
      <c r="D101" s="159" t="s">
        <v>259</v>
      </c>
      <c r="E101" s="160"/>
      <c r="F101" s="160"/>
      <c r="G101" s="160"/>
      <c r="H101" s="178"/>
    </row>
    <row r="102">
      <c r="A102" s="9" t="s">
        <v>260</v>
      </c>
      <c r="B102" s="10" t="s">
        <v>81</v>
      </c>
      <c r="C102" s="10" t="s">
        <v>261</v>
      </c>
      <c r="D102" s="10" t="s">
        <v>262</v>
      </c>
      <c r="E102" s="10"/>
      <c r="F102" s="10" t="s">
        <v>163</v>
      </c>
      <c r="G102" s="114" t="n">
        <v>2</v>
      </c>
      <c r="H102" s="175" t="n">
        <v>0</v>
      </c>
    </row>
    <row r="103">
      <c r="A103" s="157"/>
      <c r="D103" s="176" t="s">
        <v>127</v>
      </c>
      <c r="E103" s="176" t="s">
        <v>10</v>
      </c>
      <c r="F103" s="176"/>
      <c r="G103" s="177" t="n">
        <v>2</v>
      </c>
      <c r="H103" s="178"/>
    </row>
    <row r="104" customHeight="true" ht="13.5">
      <c r="A104" s="157"/>
      <c r="C104" s="179" t="s">
        <v>145</v>
      </c>
      <c r="D104" s="159" t="s">
        <v>263</v>
      </c>
      <c r="E104" s="160"/>
      <c r="F104" s="160"/>
      <c r="G104" s="160"/>
      <c r="H104" s="178"/>
    </row>
    <row r="105">
      <c r="A105" s="9" t="s">
        <v>264</v>
      </c>
      <c r="B105" s="10" t="s">
        <v>81</v>
      </c>
      <c r="C105" s="10" t="s">
        <v>265</v>
      </c>
      <c r="D105" s="10" t="s">
        <v>266</v>
      </c>
      <c r="E105" s="10"/>
      <c r="F105" s="10" t="s">
        <v>163</v>
      </c>
      <c r="G105" s="114" t="n">
        <v>2</v>
      </c>
      <c r="H105" s="175" t="n">
        <v>0</v>
      </c>
    </row>
    <row r="106">
      <c r="A106" s="157"/>
      <c r="D106" s="176" t="s">
        <v>127</v>
      </c>
      <c r="E106" s="176" t="s">
        <v>364</v>
      </c>
      <c r="F106" s="176"/>
      <c r="G106" s="177" t="n">
        <v>2</v>
      </c>
      <c r="H106" s="178"/>
    </row>
    <row r="107" customHeight="true" ht="54">
      <c r="A107" s="157"/>
      <c r="C107" s="179" t="s">
        <v>145</v>
      </c>
      <c r="D107" s="159" t="s">
        <v>365</v>
      </c>
      <c r="E107" s="160"/>
      <c r="F107" s="160"/>
      <c r="G107" s="160"/>
      <c r="H107" s="178"/>
    </row>
    <row r="108">
      <c r="A108" s="9" t="s">
        <v>270</v>
      </c>
      <c r="B108" s="10" t="s">
        <v>81</v>
      </c>
      <c r="C108" s="10" t="s">
        <v>271</v>
      </c>
      <c r="D108" s="10" t="s">
        <v>272</v>
      </c>
      <c r="E108" s="10"/>
      <c r="F108" s="10" t="s">
        <v>237</v>
      </c>
      <c r="G108" s="114" t="n">
        <v>25</v>
      </c>
      <c r="H108" s="175" t="n">
        <v>0</v>
      </c>
    </row>
    <row r="109">
      <c r="A109" s="157"/>
      <c r="D109" s="176" t="s">
        <v>221</v>
      </c>
      <c r="E109" s="176" t="s">
        <v>366</v>
      </c>
      <c r="F109" s="176"/>
      <c r="G109" s="177" t="n">
        <v>25</v>
      </c>
      <c r="H109" s="178"/>
    </row>
    <row r="110">
      <c r="A110" s="9" t="s">
        <v>276</v>
      </c>
      <c r="B110" s="10" t="s">
        <v>81</v>
      </c>
      <c r="C110" s="10" t="s">
        <v>277</v>
      </c>
      <c r="D110" s="10" t="s">
        <v>278</v>
      </c>
      <c r="E110" s="10"/>
      <c r="F110" s="10" t="s">
        <v>163</v>
      </c>
      <c r="G110" s="114" t="n">
        <v>16</v>
      </c>
      <c r="H110" s="175" t="n">
        <v>0</v>
      </c>
    </row>
    <row r="111">
      <c r="A111" s="157"/>
      <c r="D111" s="176" t="s">
        <v>367</v>
      </c>
      <c r="E111" s="176" t="s">
        <v>368</v>
      </c>
      <c r="F111" s="176"/>
      <c r="G111" s="177" t="n">
        <v>16</v>
      </c>
      <c r="H111" s="178"/>
    </row>
    <row r="112" customHeight="true" ht="40.5">
      <c r="A112" s="157"/>
      <c r="C112" s="179" t="s">
        <v>145</v>
      </c>
      <c r="D112" s="159" t="s">
        <v>280</v>
      </c>
      <c r="E112" s="160"/>
      <c r="F112" s="160"/>
      <c r="G112" s="160"/>
      <c r="H112" s="178"/>
    </row>
    <row r="113">
      <c r="A113" s="9" t="s">
        <v>283</v>
      </c>
      <c r="B113" s="10" t="s">
        <v>81</v>
      </c>
      <c r="C113" s="10" t="s">
        <v>284</v>
      </c>
      <c r="D113" s="10" t="s">
        <v>285</v>
      </c>
      <c r="E113" s="10"/>
      <c r="F113" s="10" t="s">
        <v>286</v>
      </c>
      <c r="G113" s="114" t="n">
        <v>1</v>
      </c>
      <c r="H113" s="175" t="n">
        <v>0</v>
      </c>
    </row>
    <row r="114">
      <c r="A114" s="157"/>
      <c r="D114" s="176" t="s">
        <v>119</v>
      </c>
      <c r="E114" s="176" t="s">
        <v>10</v>
      </c>
      <c r="F114" s="176"/>
      <c r="G114" s="177" t="n">
        <v>1</v>
      </c>
      <c r="H114" s="178"/>
    </row>
    <row r="115">
      <c r="A115" s="9" t="s">
        <v>288</v>
      </c>
      <c r="B115" s="10" t="s">
        <v>81</v>
      </c>
      <c r="C115" s="10" t="s">
        <v>289</v>
      </c>
      <c r="D115" s="10" t="s">
        <v>290</v>
      </c>
      <c r="E115" s="10"/>
      <c r="F115" s="10" t="s">
        <v>286</v>
      </c>
      <c r="G115" s="114" t="n">
        <v>1</v>
      </c>
      <c r="H115" s="175" t="n">
        <v>0</v>
      </c>
    </row>
    <row r="116">
      <c r="A116" s="157"/>
      <c r="D116" s="176" t="s">
        <v>119</v>
      </c>
      <c r="E116" s="176" t="s">
        <v>10</v>
      </c>
      <c r="F116" s="176"/>
      <c r="G116" s="177" t="n">
        <v>1</v>
      </c>
      <c r="H116" s="178"/>
    </row>
    <row r="117">
      <c r="A117" s="9" t="s">
        <v>291</v>
      </c>
      <c r="B117" s="10" t="s">
        <v>81</v>
      </c>
      <c r="C117" s="10" t="s">
        <v>292</v>
      </c>
      <c r="D117" s="10" t="s">
        <v>293</v>
      </c>
      <c r="E117" s="10"/>
      <c r="F117" s="10" t="s">
        <v>286</v>
      </c>
      <c r="G117" s="114" t="n">
        <v>2</v>
      </c>
      <c r="H117" s="175" t="n">
        <v>0</v>
      </c>
    </row>
    <row r="118">
      <c r="A118" s="157"/>
      <c r="D118" s="176" t="s">
        <v>127</v>
      </c>
      <c r="E118" s="176" t="s">
        <v>10</v>
      </c>
      <c r="F118" s="176"/>
      <c r="G118" s="177" t="n">
        <v>2</v>
      </c>
      <c r="H118" s="178"/>
    </row>
    <row r="119">
      <c r="A119" s="9" t="s">
        <v>294</v>
      </c>
      <c r="B119" s="10" t="s">
        <v>81</v>
      </c>
      <c r="C119" s="10" t="s">
        <v>295</v>
      </c>
      <c r="D119" s="10" t="s">
        <v>296</v>
      </c>
      <c r="E119" s="10"/>
      <c r="F119" s="10" t="s">
        <v>286</v>
      </c>
      <c r="G119" s="114" t="n">
        <v>1</v>
      </c>
      <c r="H119" s="175" t="n">
        <v>0</v>
      </c>
    </row>
    <row r="120">
      <c r="A120" s="157"/>
      <c r="D120" s="176" t="s">
        <v>119</v>
      </c>
      <c r="E120" s="176" t="s">
        <v>10</v>
      </c>
      <c r="F120" s="176"/>
      <c r="G120" s="177" t="n">
        <v>1</v>
      </c>
      <c r="H120" s="178"/>
    </row>
    <row r="121">
      <c r="A121" s="9" t="s">
        <v>297</v>
      </c>
      <c r="B121" s="10" t="s">
        <v>81</v>
      </c>
      <c r="C121" s="10" t="s">
        <v>298</v>
      </c>
      <c r="D121" s="10" t="s">
        <v>299</v>
      </c>
      <c r="E121" s="10"/>
      <c r="F121" s="10" t="s">
        <v>286</v>
      </c>
      <c r="G121" s="114" t="n">
        <v>5</v>
      </c>
      <c r="H121" s="175" t="n">
        <v>0</v>
      </c>
    </row>
    <row r="122">
      <c r="A122" s="157"/>
      <c r="D122" s="176" t="s">
        <v>134</v>
      </c>
      <c r="E122" s="176" t="s">
        <v>369</v>
      </c>
      <c r="F122" s="176"/>
      <c r="G122" s="177" t="n">
        <v>5</v>
      </c>
      <c r="H122" s="178"/>
    </row>
    <row r="123">
      <c r="A123" s="9" t="s">
        <v>300</v>
      </c>
      <c r="B123" s="10" t="s">
        <v>81</v>
      </c>
      <c r="C123" s="10" t="s">
        <v>301</v>
      </c>
      <c r="D123" s="10" t="s">
        <v>302</v>
      </c>
      <c r="E123" s="10"/>
      <c r="F123" s="10" t="s">
        <v>303</v>
      </c>
      <c r="G123" s="114" t="n">
        <v>2</v>
      </c>
      <c r="H123" s="175" t="n">
        <v>0</v>
      </c>
    </row>
    <row r="124">
      <c r="A124" s="157"/>
      <c r="D124" s="176" t="s">
        <v>127</v>
      </c>
      <c r="E124" s="176" t="s">
        <v>10</v>
      </c>
      <c r="F124" s="176"/>
      <c r="G124" s="177" t="n">
        <v>2</v>
      </c>
      <c r="H124" s="178"/>
    </row>
    <row r="125">
      <c r="A125" s="9" t="s">
        <v>304</v>
      </c>
      <c r="B125" s="10" t="s">
        <v>81</v>
      </c>
      <c r="C125" s="10" t="s">
        <v>305</v>
      </c>
      <c r="D125" s="10" t="s">
        <v>306</v>
      </c>
      <c r="E125" s="10"/>
      <c r="F125" s="10" t="s">
        <v>286</v>
      </c>
      <c r="G125" s="114" t="n">
        <v>1</v>
      </c>
      <c r="H125" s="175" t="n">
        <v>0</v>
      </c>
    </row>
    <row r="126">
      <c r="A126" s="157"/>
      <c r="D126" s="176" t="s">
        <v>119</v>
      </c>
      <c r="E126" s="176" t="s">
        <v>10</v>
      </c>
      <c r="F126" s="176"/>
      <c r="G126" s="177" t="n">
        <v>1</v>
      </c>
      <c r="H126" s="178"/>
    </row>
    <row r="127">
      <c r="A127" s="9" t="s">
        <v>308</v>
      </c>
      <c r="B127" s="10" t="s">
        <v>81</v>
      </c>
      <c r="C127" s="10" t="s">
        <v>309</v>
      </c>
      <c r="D127" s="10" t="s">
        <v>310</v>
      </c>
      <c r="E127" s="10"/>
      <c r="F127" s="10" t="s">
        <v>311</v>
      </c>
      <c r="G127" s="114" t="n">
        <v>8</v>
      </c>
      <c r="H127" s="175" t="n">
        <v>0</v>
      </c>
    </row>
    <row r="128">
      <c r="A128" s="157"/>
      <c r="D128" s="176" t="s">
        <v>160</v>
      </c>
      <c r="E128" s="176" t="s">
        <v>10</v>
      </c>
      <c r="F128" s="176"/>
      <c r="G128" s="177" t="n">
        <v>8</v>
      </c>
      <c r="H128" s="178"/>
    </row>
    <row r="129">
      <c r="A129" s="9" t="s">
        <v>315</v>
      </c>
      <c r="B129" s="10" t="s">
        <v>81</v>
      </c>
      <c r="C129" s="10" t="s">
        <v>316</v>
      </c>
      <c r="D129" s="10" t="s">
        <v>317</v>
      </c>
      <c r="E129" s="10"/>
      <c r="F129" s="10" t="s">
        <v>286</v>
      </c>
      <c r="G129" s="114" t="n">
        <v>1</v>
      </c>
      <c r="H129" s="175" t="n">
        <v>0</v>
      </c>
    </row>
    <row r="130">
      <c r="A130" s="157"/>
      <c r="D130" s="176" t="s">
        <v>119</v>
      </c>
      <c r="E130" s="176" t="s">
        <v>10</v>
      </c>
      <c r="F130" s="176"/>
      <c r="G130" s="177" t="n">
        <v>1</v>
      </c>
      <c r="H130" s="178"/>
    </row>
    <row r="131">
      <c r="A131" s="9" t="s">
        <v>318</v>
      </c>
      <c r="B131" s="10" t="s">
        <v>83</v>
      </c>
      <c r="C131" s="10" t="s">
        <v>120</v>
      </c>
      <c r="D131" s="10" t="s">
        <v>121</v>
      </c>
      <c r="E131" s="10"/>
      <c r="F131" s="10" t="s">
        <v>122</v>
      </c>
      <c r="G131" s="114" t="n">
        <v>51.129</v>
      </c>
      <c r="H131" s="175" t="n">
        <v>0</v>
      </c>
    </row>
    <row r="132">
      <c r="A132" s="157"/>
      <c r="D132" s="176" t="s">
        <v>370</v>
      </c>
      <c r="E132" s="176" t="s">
        <v>10</v>
      </c>
      <c r="F132" s="176"/>
      <c r="G132" s="177" t="n">
        <v>51.129</v>
      </c>
      <c r="H132" s="178"/>
    </row>
    <row r="133">
      <c r="A133" s="9" t="s">
        <v>321</v>
      </c>
      <c r="B133" s="10" t="s">
        <v>83</v>
      </c>
      <c r="C133" s="10" t="s">
        <v>156</v>
      </c>
      <c r="D133" s="10" t="s">
        <v>157</v>
      </c>
      <c r="E133" s="10"/>
      <c r="F133" s="10" t="s">
        <v>158</v>
      </c>
      <c r="G133" s="114" t="n">
        <v>340.86</v>
      </c>
      <c r="H133" s="175" t="n">
        <v>0</v>
      </c>
    </row>
    <row r="134">
      <c r="A134" s="157"/>
      <c r="D134" s="176" t="s">
        <v>371</v>
      </c>
      <c r="E134" s="176" t="s">
        <v>10</v>
      </c>
      <c r="F134" s="176"/>
      <c r="G134" s="177" t="n">
        <v>340.86</v>
      </c>
      <c r="H134" s="178"/>
    </row>
    <row r="135">
      <c r="A135" s="9" t="s">
        <v>322</v>
      </c>
      <c r="B135" s="10" t="s">
        <v>83</v>
      </c>
      <c r="C135" s="10" t="s">
        <v>187</v>
      </c>
      <c r="D135" s="10" t="s">
        <v>188</v>
      </c>
      <c r="E135" s="10"/>
      <c r="F135" s="10" t="s">
        <v>158</v>
      </c>
      <c r="G135" s="114" t="n">
        <v>89.7</v>
      </c>
      <c r="H135" s="175" t="n">
        <v>0</v>
      </c>
    </row>
    <row r="136">
      <c r="A136" s="157"/>
      <c r="D136" s="176" t="s">
        <v>372</v>
      </c>
      <c r="E136" s="176" t="s">
        <v>344</v>
      </c>
      <c r="F136" s="176"/>
      <c r="G136" s="177" t="n">
        <v>89.7</v>
      </c>
      <c r="H136" s="178"/>
    </row>
    <row r="137">
      <c r="A137" s="9" t="s">
        <v>323</v>
      </c>
      <c r="B137" s="10" t="s">
        <v>83</v>
      </c>
      <c r="C137" s="10" t="s">
        <v>189</v>
      </c>
      <c r="D137" s="10" t="s">
        <v>190</v>
      </c>
      <c r="E137" s="10"/>
      <c r="F137" s="10" t="s">
        <v>158</v>
      </c>
      <c r="G137" s="114" t="n">
        <v>170.43</v>
      </c>
      <c r="H137" s="175" t="n">
        <v>0</v>
      </c>
    </row>
    <row r="138">
      <c r="A138" s="157"/>
      <c r="D138" s="176" t="s">
        <v>373</v>
      </c>
      <c r="E138" s="176" t="s">
        <v>346</v>
      </c>
      <c r="F138" s="176"/>
      <c r="G138" s="177" t="n">
        <v>170.43</v>
      </c>
      <c r="H138" s="178"/>
    </row>
    <row r="139">
      <c r="A139" s="9" t="s">
        <v>324</v>
      </c>
      <c r="B139" s="10" t="s">
        <v>83</v>
      </c>
      <c r="C139" s="10" t="s">
        <v>191</v>
      </c>
      <c r="D139" s="10" t="s">
        <v>192</v>
      </c>
      <c r="E139" s="10"/>
      <c r="F139" s="10" t="s">
        <v>158</v>
      </c>
      <c r="G139" s="114" t="n">
        <v>170.43</v>
      </c>
      <c r="H139" s="175" t="n">
        <v>0</v>
      </c>
    </row>
    <row r="140">
      <c r="A140" s="157"/>
      <c r="D140" s="176" t="s">
        <v>373</v>
      </c>
      <c r="E140" s="176" t="s">
        <v>10</v>
      </c>
      <c r="F140" s="176"/>
      <c r="G140" s="177" t="n">
        <v>170.43</v>
      </c>
      <c r="H140" s="178"/>
    </row>
    <row r="141">
      <c r="A141" s="9" t="s">
        <v>325</v>
      </c>
      <c r="B141" s="10" t="s">
        <v>83</v>
      </c>
      <c r="C141" s="10" t="s">
        <v>194</v>
      </c>
      <c r="D141" s="10" t="s">
        <v>195</v>
      </c>
      <c r="E141" s="10"/>
      <c r="F141" s="10" t="s">
        <v>122</v>
      </c>
      <c r="G141" s="114" t="n">
        <v>5.1129</v>
      </c>
      <c r="H141" s="175" t="n">
        <v>0</v>
      </c>
    </row>
    <row r="142">
      <c r="A142" s="157"/>
      <c r="D142" s="176" t="s">
        <v>374</v>
      </c>
      <c r="E142" s="176" t="s">
        <v>349</v>
      </c>
      <c r="F142" s="176"/>
      <c r="G142" s="177" t="n">
        <v>5.1129</v>
      </c>
      <c r="H142" s="178"/>
    </row>
    <row r="143">
      <c r="A143" s="9" t="s">
        <v>326</v>
      </c>
      <c r="B143" s="10" t="s">
        <v>83</v>
      </c>
      <c r="C143" s="10" t="s">
        <v>216</v>
      </c>
      <c r="D143" s="10" t="s">
        <v>217</v>
      </c>
      <c r="E143" s="10"/>
      <c r="F143" s="10" t="s">
        <v>158</v>
      </c>
      <c r="G143" s="114" t="n">
        <v>179.4</v>
      </c>
      <c r="H143" s="175" t="n">
        <v>0</v>
      </c>
    </row>
    <row r="144">
      <c r="A144" s="157"/>
      <c r="D144" s="176" t="s">
        <v>375</v>
      </c>
      <c r="E144" s="176" t="s">
        <v>352</v>
      </c>
      <c r="F144" s="176"/>
      <c r="G144" s="177" t="n">
        <v>179.4</v>
      </c>
      <c r="H144" s="178"/>
    </row>
    <row r="145">
      <c r="A145" s="9" t="s">
        <v>328</v>
      </c>
      <c r="B145" s="10" t="s">
        <v>83</v>
      </c>
      <c r="C145" s="10" t="s">
        <v>222</v>
      </c>
      <c r="D145" s="10" t="s">
        <v>223</v>
      </c>
      <c r="E145" s="10"/>
      <c r="F145" s="10" t="s">
        <v>158</v>
      </c>
      <c r="G145" s="114" t="n">
        <v>81.65</v>
      </c>
      <c r="H145" s="175" t="n">
        <v>0</v>
      </c>
    </row>
    <row r="146">
      <c r="A146" s="157"/>
      <c r="D146" s="176" t="s">
        <v>376</v>
      </c>
      <c r="E146" s="176" t="s">
        <v>354</v>
      </c>
      <c r="F146" s="176"/>
      <c r="G146" s="177" t="n">
        <v>81.65</v>
      </c>
      <c r="H146" s="178"/>
    </row>
    <row r="147">
      <c r="A147" s="9" t="s">
        <v>329</v>
      </c>
      <c r="B147" s="10" t="s">
        <v>83</v>
      </c>
      <c r="C147" s="10" t="s">
        <v>225</v>
      </c>
      <c r="D147" s="10" t="s">
        <v>226</v>
      </c>
      <c r="E147" s="10"/>
      <c r="F147" s="10" t="s">
        <v>158</v>
      </c>
      <c r="G147" s="114" t="n">
        <v>89.7</v>
      </c>
      <c r="H147" s="175" t="n">
        <v>0</v>
      </c>
    </row>
    <row r="148">
      <c r="A148" s="157"/>
      <c r="D148" s="176" t="s">
        <v>377</v>
      </c>
      <c r="E148" s="176" t="s">
        <v>10</v>
      </c>
      <c r="F148" s="176"/>
      <c r="G148" s="177" t="n">
        <v>89.7</v>
      </c>
      <c r="H148" s="178"/>
    </row>
    <row r="149">
      <c r="A149" s="9" t="s">
        <v>213</v>
      </c>
      <c r="B149" s="10" t="s">
        <v>83</v>
      </c>
      <c r="C149" s="10" t="s">
        <v>227</v>
      </c>
      <c r="D149" s="10" t="s">
        <v>228</v>
      </c>
      <c r="E149" s="10"/>
      <c r="F149" s="10" t="s">
        <v>158</v>
      </c>
      <c r="G149" s="114" t="n">
        <v>63.71</v>
      </c>
      <c r="H149" s="175" t="n">
        <v>0</v>
      </c>
    </row>
    <row r="150">
      <c r="A150" s="180"/>
      <c r="B150" s="181"/>
      <c r="C150" s="181"/>
      <c r="D150" s="182" t="s">
        <v>378</v>
      </c>
      <c r="E150" s="182" t="s">
        <v>357</v>
      </c>
      <c r="F150" s="182"/>
      <c r="G150" s="183" t="n">
        <v>63.71</v>
      </c>
      <c r="H150" s="184"/>
    </row>
    <row r="152">
      <c r="A152" s="119" t="s">
        <v>58</v>
      </c>
    </row>
    <row r="153" customHeight="true" ht="12.75">
      <c r="A153" s="14" t="s">
        <v>10</v>
      </c>
      <c r="B153" s="10"/>
      <c r="C153" s="10"/>
      <c r="D153" s="10"/>
      <c r="E153" s="10"/>
      <c r="F153" s="10"/>
      <c r="G153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8B3"/>
  <mergeCells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  <mergeCell ref="F8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E24:F24"/>
    <mergeCell ref="D25:E25"/>
    <mergeCell ref="E26:F26"/>
    <mergeCell ref="E27:F27"/>
    <mergeCell ref="D28:E28"/>
    <mergeCell ref="E29:F29"/>
    <mergeCell ref="D30:E30"/>
    <mergeCell ref="E31:F31"/>
    <mergeCell ref="D32:E32"/>
    <mergeCell ref="E33:F33"/>
    <mergeCell ref="D34:G34"/>
    <mergeCell ref="D35:E35"/>
    <mergeCell ref="E36:F36"/>
    <mergeCell ref="D37:E37"/>
    <mergeCell ref="E38:F38"/>
    <mergeCell ref="D39:E39"/>
    <mergeCell ref="E40:F40"/>
    <mergeCell ref="D41:E41"/>
    <mergeCell ref="E42:F42"/>
    <mergeCell ref="D43:G43"/>
    <mergeCell ref="D44:E44"/>
    <mergeCell ref="E45:F45"/>
    <mergeCell ref="D46:G46"/>
    <mergeCell ref="D47:E47"/>
    <mergeCell ref="E48:F48"/>
    <mergeCell ref="D49:G49"/>
    <mergeCell ref="D50:E50"/>
    <mergeCell ref="E51:F51"/>
    <mergeCell ref="D52:G52"/>
    <mergeCell ref="D53:E53"/>
    <mergeCell ref="E54:F54"/>
    <mergeCell ref="D55:G55"/>
    <mergeCell ref="D56:E56"/>
    <mergeCell ref="E57:F57"/>
    <mergeCell ref="D58:G58"/>
    <mergeCell ref="D59:E59"/>
    <mergeCell ref="E60:F60"/>
    <mergeCell ref="D61:G61"/>
    <mergeCell ref="D62:E62"/>
    <mergeCell ref="E63:F63"/>
    <mergeCell ref="D64:E64"/>
    <mergeCell ref="E65:F65"/>
    <mergeCell ref="D66:E66"/>
    <mergeCell ref="E67:F67"/>
    <mergeCell ref="D68:E68"/>
    <mergeCell ref="E69:F69"/>
    <mergeCell ref="D70:E70"/>
    <mergeCell ref="E71:F71"/>
    <mergeCell ref="D72:E72"/>
    <mergeCell ref="E73:F73"/>
    <mergeCell ref="D74:E74"/>
    <mergeCell ref="E75:F75"/>
    <mergeCell ref="D76:E76"/>
    <mergeCell ref="E77:F77"/>
    <mergeCell ref="D78:G78"/>
    <mergeCell ref="D79:E79"/>
    <mergeCell ref="E80:F80"/>
    <mergeCell ref="D81:E81"/>
    <mergeCell ref="E82:F82"/>
    <mergeCell ref="D83:E83"/>
    <mergeCell ref="E84:F84"/>
    <mergeCell ref="D85:E85"/>
    <mergeCell ref="E86:F86"/>
    <mergeCell ref="D87:E87"/>
    <mergeCell ref="E88:F88"/>
    <mergeCell ref="D89:E89"/>
    <mergeCell ref="E90:F90"/>
    <mergeCell ref="D91:E91"/>
    <mergeCell ref="E92:F92"/>
    <mergeCell ref="D93:G93"/>
    <mergeCell ref="D94:E94"/>
    <mergeCell ref="E95:F95"/>
    <mergeCell ref="D96:G96"/>
    <mergeCell ref="D97:E97"/>
    <mergeCell ref="E98:F98"/>
    <mergeCell ref="D99:E99"/>
    <mergeCell ref="E100:F100"/>
    <mergeCell ref="D101:G101"/>
    <mergeCell ref="D102:E102"/>
    <mergeCell ref="E103:F103"/>
    <mergeCell ref="D104:G104"/>
    <mergeCell ref="D105:E105"/>
    <mergeCell ref="E106:F106"/>
    <mergeCell ref="D107:G107"/>
    <mergeCell ref="D108:E108"/>
    <mergeCell ref="E109:F109"/>
    <mergeCell ref="D110:E110"/>
    <mergeCell ref="E111:F111"/>
    <mergeCell ref="D112:G112"/>
    <mergeCell ref="D113:E113"/>
    <mergeCell ref="E114:F114"/>
    <mergeCell ref="D115:E115"/>
    <mergeCell ref="E116:F116"/>
    <mergeCell ref="D117:E117"/>
    <mergeCell ref="E118:F118"/>
    <mergeCell ref="D119:E119"/>
    <mergeCell ref="E120:F120"/>
    <mergeCell ref="D121:E121"/>
    <mergeCell ref="E122:F122"/>
    <mergeCell ref="D123:E123"/>
    <mergeCell ref="E124:F124"/>
    <mergeCell ref="D125:E125"/>
    <mergeCell ref="E126:F126"/>
    <mergeCell ref="D127:E127"/>
    <mergeCell ref="E128:F128"/>
    <mergeCell ref="D129:E129"/>
    <mergeCell ref="E130:F130"/>
    <mergeCell ref="D131:E131"/>
    <mergeCell ref="E132:F132"/>
    <mergeCell ref="D133:E133"/>
    <mergeCell ref="E134:F134"/>
    <mergeCell ref="D135:E135"/>
    <mergeCell ref="E136:F136"/>
    <mergeCell ref="D137:E137"/>
    <mergeCell ref="E138:F138"/>
    <mergeCell ref="D139:E139"/>
    <mergeCell ref="E140:F140"/>
    <mergeCell ref="D141:E141"/>
    <mergeCell ref="E142:F142"/>
    <mergeCell ref="D143:E143"/>
    <mergeCell ref="E144:F144"/>
    <mergeCell ref="D145:E145"/>
    <mergeCell ref="E146:F146"/>
    <mergeCell ref="D147:E147"/>
    <mergeCell ref="E148:F148"/>
    <mergeCell ref="D149:E149"/>
    <mergeCell ref="E150:F150"/>
    <mergeCell ref="A153:G153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